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G:\.shortcut-targets-by-id\0Bz5NRlvxNCoubTR1enAtRmJqSVk\Lotus ES\Clients\Project Work\ABQ CPRG\Task 2. GHG Inventory and Projections\BAU\"/>
    </mc:Choice>
  </mc:AlternateContent>
  <xr:revisionPtr revIDLastSave="0" documentId="13_ncr:1_{F6C18383-E1E4-430E-806A-7C41001220F2}" xr6:coauthVersionLast="47" xr6:coauthVersionMax="47" xr10:uidLastSave="{00000000-0000-0000-0000-000000000000}"/>
  <bookViews>
    <workbookView xWindow="-28920" yWindow="-120" windowWidth="29040" windowHeight="15720" activeTab="1" xr2:uid="{50A11F02-D924-4E35-96D5-6342D26F78BF}"/>
  </bookViews>
  <sheets>
    <sheet name="Introduction" sheetId="15" r:id="rId1"/>
    <sheet name="Business As Usual" sheetId="2" r:id="rId2"/>
    <sheet name="Baseline Transportation" sheetId="16" r:id="rId3"/>
    <sheet name="Baseline Building Energy" sheetId="17" r:id="rId4"/>
    <sheet name="Forecast Parameters" sheetId="12" r:id="rId5"/>
    <sheet name="Emission Factors and Constants" sheetId="1" r:id="rId6"/>
  </sheets>
  <definedNames>
    <definedName name="Com_High_Electricity">'Emission Factors and Constants'!#REF!</definedName>
    <definedName name="Com_High_Fossil_Fuel">'Emission Factors and Constants'!#REF!</definedName>
    <definedName name="Com_Low_Electricity">'Emission Factors and Constants'!#REF!</definedName>
    <definedName name="Com_Low_Fossil_Fuel">'Emission Factors and Constants'!#REF!</definedName>
    <definedName name="Com_Med_Electricity">'Emission Factors and Constants'!#REF!</definedName>
    <definedName name="Com_Med_Fossil_Fuel">'Emission Factors and Constants'!#REF!</definedName>
    <definedName name="High_Electricity">'Emission Factors and Constants'!#REF!</definedName>
    <definedName name="High_Fossil_Fuel">'Emission Factors and Constants'!#REF!</definedName>
    <definedName name="Low_Electricity">'Emission Factors and Constants'!#REF!</definedName>
    <definedName name="Low_Fossil_Fuel">'Emission Factors and Constants'!#REF!</definedName>
    <definedName name="Med_Electricity">'Emission Factors and Constants'!#REF!</definedName>
    <definedName name="Med_Fossil_Fuel">'Emission Factors and Constants'!#REF!</definedName>
    <definedName name="Res_High_WH_Electricity">'Emission Factors and Constants'!#REF!</definedName>
    <definedName name="Res_High_WH_Fossil_Fuel">'Emission Factors and Constants'!#REF!</definedName>
    <definedName name="Res_Low_WH_Electricity">'Emission Factors and Constants'!#REF!</definedName>
    <definedName name="Res_Low_WH_Fossil_Fuel">'Emission Factors and Constants'!#REF!</definedName>
    <definedName name="Res_Med_WH_Electricity">'Emission Factors and Constants'!#REF!</definedName>
    <definedName name="Res_Med_WH_Fossil_Fuel">'Emission Factors and Constants'!#REF!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0" i="12" l="1"/>
  <c r="C95" i="2"/>
  <c r="B154" i="2"/>
  <c r="C25" i="16" l="1"/>
  <c r="D25" i="16"/>
  <c r="E25" i="16" s="1"/>
  <c r="F25" i="16" s="1"/>
  <c r="G25" i="16" s="1"/>
  <c r="H25" i="16" s="1"/>
  <c r="I25" i="16" s="1"/>
  <c r="J25" i="16" s="1"/>
  <c r="K25" i="16" s="1"/>
  <c r="L25" i="16" s="1"/>
  <c r="M25" i="16" s="1"/>
  <c r="N25" i="16" s="1"/>
  <c r="O25" i="16" s="1"/>
  <c r="P25" i="16" s="1"/>
  <c r="Q25" i="16" s="1"/>
  <c r="R25" i="16" s="1"/>
  <c r="S25" i="16" s="1"/>
  <c r="T25" i="16" s="1"/>
  <c r="U25" i="16" s="1"/>
  <c r="V25" i="16" s="1"/>
  <c r="W25" i="16" s="1"/>
  <c r="X25" i="16" s="1"/>
  <c r="Y25" i="16" s="1"/>
  <c r="Z25" i="16" s="1"/>
  <c r="AA25" i="16" s="1"/>
  <c r="AB25" i="16" s="1"/>
  <c r="AC25" i="16" s="1"/>
  <c r="B25" i="16"/>
  <c r="B28" i="16"/>
  <c r="D55" i="12"/>
  <c r="E55" i="12" s="1"/>
  <c r="F55" i="12" s="1"/>
  <c r="G55" i="12" s="1"/>
  <c r="H55" i="12" s="1"/>
  <c r="I55" i="12" s="1"/>
  <c r="J55" i="12" s="1"/>
  <c r="K55" i="12" s="1"/>
  <c r="L55" i="12" s="1"/>
  <c r="M55" i="12" s="1"/>
  <c r="N55" i="12" s="1"/>
  <c r="O55" i="12" s="1"/>
  <c r="P55" i="12" s="1"/>
  <c r="Q55" i="12" s="1"/>
  <c r="R55" i="12" s="1"/>
  <c r="S55" i="12" s="1"/>
  <c r="T55" i="12" s="1"/>
  <c r="U55" i="12" s="1"/>
  <c r="V55" i="12" s="1"/>
  <c r="W55" i="12" s="1"/>
  <c r="X55" i="12" s="1"/>
  <c r="Y55" i="12" s="1"/>
  <c r="Z55" i="12" s="1"/>
  <c r="AA55" i="12" s="1"/>
  <c r="AB55" i="12" s="1"/>
  <c r="AC55" i="12" s="1"/>
  <c r="AD55" i="12" s="1"/>
  <c r="C55" i="12"/>
  <c r="D91" i="12"/>
  <c r="E91" i="12" s="1"/>
  <c r="C91" i="12"/>
  <c r="C99" i="12"/>
  <c r="C100" i="12" s="1"/>
  <c r="B99" i="12"/>
  <c r="B98" i="12"/>
  <c r="B92" i="12"/>
  <c r="B70" i="12"/>
  <c r="C65" i="12"/>
  <c r="C69" i="12" s="1"/>
  <c r="B37" i="12"/>
  <c r="B38" i="12" s="1"/>
  <c r="B43" i="12"/>
  <c r="C20" i="12"/>
  <c r="B44" i="16"/>
  <c r="B95" i="16"/>
  <c r="B121" i="16" s="1"/>
  <c r="B226" i="16"/>
  <c r="B225" i="16"/>
  <c r="C186" i="16"/>
  <c r="B186" i="16"/>
  <c r="C34" i="16"/>
  <c r="D34" i="16" s="1"/>
  <c r="E34" i="16" s="1"/>
  <c r="F34" i="16" s="1"/>
  <c r="G34" i="16" s="1"/>
  <c r="H34" i="16" s="1"/>
  <c r="I34" i="16" s="1"/>
  <c r="J34" i="16" s="1"/>
  <c r="K34" i="16" s="1"/>
  <c r="L34" i="16" s="1"/>
  <c r="M34" i="16" s="1"/>
  <c r="N34" i="16" s="1"/>
  <c r="O34" i="16" s="1"/>
  <c r="P34" i="16" s="1"/>
  <c r="Q34" i="16" s="1"/>
  <c r="R34" i="16" s="1"/>
  <c r="S34" i="16" s="1"/>
  <c r="T34" i="16" s="1"/>
  <c r="U34" i="16" s="1"/>
  <c r="V34" i="16" s="1"/>
  <c r="W34" i="16" s="1"/>
  <c r="X34" i="16" s="1"/>
  <c r="Y34" i="16" s="1"/>
  <c r="Z34" i="16" s="1"/>
  <c r="AA34" i="16" s="1"/>
  <c r="AB34" i="16" s="1"/>
  <c r="AC34" i="16" s="1"/>
  <c r="B161" i="2"/>
  <c r="B17" i="17"/>
  <c r="B19" i="17"/>
  <c r="B21" i="17"/>
  <c r="B23" i="17"/>
  <c r="B27" i="17"/>
  <c r="B28" i="17" s="1"/>
  <c r="B31" i="17"/>
  <c r="B33" i="17"/>
  <c r="C149" i="2"/>
  <c r="D149" i="2" s="1"/>
  <c r="E149" i="2" s="1"/>
  <c r="F149" i="2" s="1"/>
  <c r="G149" i="2" s="1"/>
  <c r="H149" i="2" s="1"/>
  <c r="I149" i="2" s="1"/>
  <c r="J149" i="2" s="1"/>
  <c r="K149" i="2" s="1"/>
  <c r="L149" i="2" s="1"/>
  <c r="M149" i="2" s="1"/>
  <c r="N149" i="2" s="1"/>
  <c r="O149" i="2" s="1"/>
  <c r="P149" i="2" s="1"/>
  <c r="Q149" i="2" s="1"/>
  <c r="R149" i="2" s="1"/>
  <c r="S149" i="2" s="1"/>
  <c r="T149" i="2" s="1"/>
  <c r="U149" i="2" s="1"/>
  <c r="V149" i="2" s="1"/>
  <c r="W149" i="2" s="1"/>
  <c r="X149" i="2" s="1"/>
  <c r="Y149" i="2" s="1"/>
  <c r="Z149" i="2" s="1"/>
  <c r="AA149" i="2" s="1"/>
  <c r="AB149" i="2" s="1"/>
  <c r="AC149" i="2" s="1"/>
  <c r="C150" i="2"/>
  <c r="D150" i="2" s="1"/>
  <c r="C151" i="2"/>
  <c r="D151" i="2" s="1"/>
  <c r="E151" i="2" s="1"/>
  <c r="F151" i="2" s="1"/>
  <c r="G151" i="2" s="1"/>
  <c r="H151" i="2" s="1"/>
  <c r="I151" i="2" s="1"/>
  <c r="J151" i="2" s="1"/>
  <c r="K151" i="2" s="1"/>
  <c r="L151" i="2" s="1"/>
  <c r="M151" i="2" s="1"/>
  <c r="N151" i="2" s="1"/>
  <c r="O151" i="2" s="1"/>
  <c r="P151" i="2" s="1"/>
  <c r="Q151" i="2" s="1"/>
  <c r="R151" i="2" s="1"/>
  <c r="S151" i="2" s="1"/>
  <c r="T151" i="2" s="1"/>
  <c r="U151" i="2" s="1"/>
  <c r="V151" i="2" s="1"/>
  <c r="W151" i="2" s="1"/>
  <c r="X151" i="2" s="1"/>
  <c r="Y151" i="2" s="1"/>
  <c r="Z151" i="2" s="1"/>
  <c r="AA151" i="2" s="1"/>
  <c r="AB151" i="2" s="1"/>
  <c r="AC151" i="2" s="1"/>
  <c r="C146" i="2"/>
  <c r="D146" i="2" s="1"/>
  <c r="C131" i="2"/>
  <c r="D131" i="2"/>
  <c r="E131" i="2" s="1"/>
  <c r="F131" i="2" s="1"/>
  <c r="G131" i="2" s="1"/>
  <c r="H131" i="2" s="1"/>
  <c r="I131" i="2" s="1"/>
  <c r="J131" i="2" s="1"/>
  <c r="K131" i="2" s="1"/>
  <c r="L131" i="2" s="1"/>
  <c r="M131" i="2" s="1"/>
  <c r="N131" i="2" s="1"/>
  <c r="O131" i="2" s="1"/>
  <c r="P131" i="2" s="1"/>
  <c r="Q131" i="2" s="1"/>
  <c r="R131" i="2" s="1"/>
  <c r="S131" i="2" s="1"/>
  <c r="T131" i="2" s="1"/>
  <c r="U131" i="2" s="1"/>
  <c r="V131" i="2" s="1"/>
  <c r="W131" i="2" s="1"/>
  <c r="X131" i="2" s="1"/>
  <c r="Y131" i="2" s="1"/>
  <c r="Z131" i="2" s="1"/>
  <c r="AA131" i="2" s="1"/>
  <c r="AB131" i="2" s="1"/>
  <c r="AC131" i="2" s="1"/>
  <c r="C124" i="2"/>
  <c r="D124" i="2" s="1"/>
  <c r="E124" i="2" s="1"/>
  <c r="F124" i="2" s="1"/>
  <c r="G124" i="2" s="1"/>
  <c r="H124" i="2" s="1"/>
  <c r="I124" i="2" s="1"/>
  <c r="J124" i="2" s="1"/>
  <c r="K124" i="2" s="1"/>
  <c r="L124" i="2" s="1"/>
  <c r="M124" i="2" s="1"/>
  <c r="N124" i="2" s="1"/>
  <c r="O124" i="2" s="1"/>
  <c r="P124" i="2" s="1"/>
  <c r="Q124" i="2" s="1"/>
  <c r="R124" i="2" s="1"/>
  <c r="S124" i="2" s="1"/>
  <c r="T124" i="2" s="1"/>
  <c r="U124" i="2" s="1"/>
  <c r="V124" i="2" s="1"/>
  <c r="W124" i="2" s="1"/>
  <c r="X124" i="2" s="1"/>
  <c r="Y124" i="2" s="1"/>
  <c r="Z124" i="2" s="1"/>
  <c r="AA124" i="2" s="1"/>
  <c r="AB124" i="2" s="1"/>
  <c r="AC124" i="2" s="1"/>
  <c r="C122" i="2"/>
  <c r="D122" i="2" s="1"/>
  <c r="E122" i="2" s="1"/>
  <c r="F122" i="2" s="1"/>
  <c r="G122" i="2" s="1"/>
  <c r="H122" i="2" s="1"/>
  <c r="I122" i="2" s="1"/>
  <c r="J122" i="2" s="1"/>
  <c r="K122" i="2" s="1"/>
  <c r="L122" i="2" s="1"/>
  <c r="M122" i="2" s="1"/>
  <c r="N122" i="2" s="1"/>
  <c r="O122" i="2" s="1"/>
  <c r="P122" i="2" s="1"/>
  <c r="Q122" i="2" s="1"/>
  <c r="R122" i="2" s="1"/>
  <c r="S122" i="2" s="1"/>
  <c r="T122" i="2" s="1"/>
  <c r="U122" i="2" s="1"/>
  <c r="V122" i="2" s="1"/>
  <c r="W122" i="2" s="1"/>
  <c r="X122" i="2" s="1"/>
  <c r="Y122" i="2" s="1"/>
  <c r="Z122" i="2" s="1"/>
  <c r="AA122" i="2" s="1"/>
  <c r="AB122" i="2" s="1"/>
  <c r="AC122" i="2" s="1"/>
  <c r="C111" i="2"/>
  <c r="D111" i="2" s="1"/>
  <c r="E111" i="2" s="1"/>
  <c r="F111" i="2" s="1"/>
  <c r="G111" i="2" s="1"/>
  <c r="H111" i="2" s="1"/>
  <c r="I111" i="2" s="1"/>
  <c r="J111" i="2" s="1"/>
  <c r="K111" i="2" s="1"/>
  <c r="L111" i="2" s="1"/>
  <c r="M111" i="2" s="1"/>
  <c r="N111" i="2" s="1"/>
  <c r="O111" i="2" s="1"/>
  <c r="P111" i="2" s="1"/>
  <c r="Q111" i="2" s="1"/>
  <c r="R111" i="2" s="1"/>
  <c r="S111" i="2" s="1"/>
  <c r="T111" i="2" s="1"/>
  <c r="U111" i="2" s="1"/>
  <c r="V111" i="2" s="1"/>
  <c r="W111" i="2" s="1"/>
  <c r="X111" i="2" s="1"/>
  <c r="Y111" i="2" s="1"/>
  <c r="Z111" i="2" s="1"/>
  <c r="AA111" i="2" s="1"/>
  <c r="AB111" i="2" s="1"/>
  <c r="AC111" i="2" s="1"/>
  <c r="B18" i="17"/>
  <c r="B22" i="17"/>
  <c r="B32" i="17"/>
  <c r="C97" i="1"/>
  <c r="C96" i="1"/>
  <c r="B118" i="2"/>
  <c r="B102" i="2"/>
  <c r="B162" i="2" s="1"/>
  <c r="B97" i="2"/>
  <c r="B165" i="2" s="1"/>
  <c r="B166" i="2"/>
  <c r="B167" i="2"/>
  <c r="B168" i="2"/>
  <c r="B169" i="2"/>
  <c r="E117" i="12"/>
  <c r="E118" i="12" s="1"/>
  <c r="F117" i="12"/>
  <c r="F118" i="12" s="1"/>
  <c r="G117" i="12"/>
  <c r="G118" i="12" s="1"/>
  <c r="C17" i="2"/>
  <c r="B113" i="1"/>
  <c r="B109" i="1"/>
  <c r="C113" i="1"/>
  <c r="C109" i="1"/>
  <c r="F103" i="1"/>
  <c r="G104" i="1"/>
  <c r="B106" i="1"/>
  <c r="B103" i="1"/>
  <c r="D106" i="1"/>
  <c r="D195" i="16"/>
  <c r="B76" i="16"/>
  <c r="G106" i="1"/>
  <c r="G105" i="1"/>
  <c r="C104" i="1"/>
  <c r="C105" i="1"/>
  <c r="C106" i="1"/>
  <c r="D103" i="1"/>
  <c r="E105" i="1"/>
  <c r="E104" i="1"/>
  <c r="E106" i="1"/>
  <c r="AH118" i="12"/>
  <c r="B51" i="12"/>
  <c r="B56" i="12" s="1"/>
  <c r="AC240" i="12"/>
  <c r="AB240" i="12"/>
  <c r="AA240" i="12"/>
  <c r="Z240" i="12"/>
  <c r="Y240" i="12"/>
  <c r="X240" i="12"/>
  <c r="W240" i="12"/>
  <c r="V240" i="12"/>
  <c r="U240" i="12"/>
  <c r="T240" i="12"/>
  <c r="S240" i="12"/>
  <c r="R240" i="12"/>
  <c r="Q240" i="12"/>
  <c r="P240" i="12"/>
  <c r="O240" i="12"/>
  <c r="N240" i="12"/>
  <c r="M240" i="12"/>
  <c r="L240" i="12"/>
  <c r="K240" i="12"/>
  <c r="J240" i="12"/>
  <c r="I240" i="12"/>
  <c r="H240" i="12"/>
  <c r="G240" i="12"/>
  <c r="F240" i="12"/>
  <c r="E240" i="12"/>
  <c r="D240" i="12"/>
  <c r="C239" i="12"/>
  <c r="C240" i="12" s="1"/>
  <c r="B239" i="12"/>
  <c r="B240" i="12" s="1"/>
  <c r="D236" i="12"/>
  <c r="C235" i="12"/>
  <c r="B235" i="12"/>
  <c r="B146" i="17"/>
  <c r="B145" i="17"/>
  <c r="B147" i="17"/>
  <c r="B242" i="17"/>
  <c r="AC229" i="12"/>
  <c r="AB229" i="12"/>
  <c r="AA229" i="12"/>
  <c r="Z229" i="12"/>
  <c r="Y229" i="12"/>
  <c r="X229" i="12"/>
  <c r="W229" i="12"/>
  <c r="V229" i="12"/>
  <c r="U229" i="12"/>
  <c r="T229" i="12"/>
  <c r="S229" i="12"/>
  <c r="R229" i="12"/>
  <c r="Q229" i="12"/>
  <c r="P229" i="12"/>
  <c r="O229" i="12"/>
  <c r="D225" i="12"/>
  <c r="D224" i="12" s="1"/>
  <c r="B136" i="17"/>
  <c r="B41" i="17"/>
  <c r="N229" i="12"/>
  <c r="M229" i="12"/>
  <c r="L229" i="12"/>
  <c r="K229" i="12"/>
  <c r="J229" i="12"/>
  <c r="I229" i="12"/>
  <c r="H229" i="12"/>
  <c r="G229" i="12"/>
  <c r="F229" i="12"/>
  <c r="E229" i="12"/>
  <c r="D229" i="12"/>
  <c r="C228" i="12"/>
  <c r="C229" i="12" s="1"/>
  <c r="B228" i="12"/>
  <c r="B229" i="12" s="1"/>
  <c r="B148" i="17" s="1"/>
  <c r="B224" i="12"/>
  <c r="C224" i="12"/>
  <c r="B243" i="17"/>
  <c r="B244" i="17"/>
  <c r="B245" i="17"/>
  <c r="B35" i="16"/>
  <c r="B34" i="16"/>
  <c r="B32" i="16"/>
  <c r="B30" i="16"/>
  <c r="B29" i="16"/>
  <c r="B27" i="16"/>
  <c r="B26" i="16"/>
  <c r="B49" i="16"/>
  <c r="B48" i="16"/>
  <c r="B124" i="16" s="1"/>
  <c r="B47" i="16"/>
  <c r="B43" i="16"/>
  <c r="B120" i="16" s="1"/>
  <c r="B42" i="16"/>
  <c r="B39" i="16"/>
  <c r="B38" i="16"/>
  <c r="B37" i="16"/>
  <c r="B116" i="16" s="1"/>
  <c r="B36" i="16"/>
  <c r="B137" i="17"/>
  <c r="L121" i="12"/>
  <c r="H121" i="12" s="1"/>
  <c r="H122" i="12" s="1"/>
  <c r="G125" i="12" s="1"/>
  <c r="B46" i="12"/>
  <c r="B53" i="12"/>
  <c r="B54" i="16"/>
  <c r="B55" i="16"/>
  <c r="C85" i="1"/>
  <c r="B219" i="16"/>
  <c r="B133" i="16" s="1"/>
  <c r="C133" i="16" s="1"/>
  <c r="D133" i="16" s="1"/>
  <c r="E133" i="16" s="1"/>
  <c r="F133" i="16" s="1"/>
  <c r="G133" i="16" s="1"/>
  <c r="H133" i="16" s="1"/>
  <c r="I133" i="16" s="1"/>
  <c r="J133" i="16" s="1"/>
  <c r="K133" i="16" s="1"/>
  <c r="L133" i="16" s="1"/>
  <c r="M133" i="16" s="1"/>
  <c r="N133" i="16" s="1"/>
  <c r="O133" i="16" s="1"/>
  <c r="P133" i="16" s="1"/>
  <c r="Q133" i="16" s="1"/>
  <c r="R133" i="16" s="1"/>
  <c r="S133" i="16" s="1"/>
  <c r="T133" i="16" s="1"/>
  <c r="U133" i="16" s="1"/>
  <c r="V133" i="16" s="1"/>
  <c r="W133" i="16" s="1"/>
  <c r="X133" i="16" s="1"/>
  <c r="Y133" i="16" s="1"/>
  <c r="Z133" i="16" s="1"/>
  <c r="AA133" i="16" s="1"/>
  <c r="AB133" i="16" s="1"/>
  <c r="AC133" i="16" s="1"/>
  <c r="B55" i="2"/>
  <c r="B50" i="2"/>
  <c r="T122" i="12"/>
  <c r="S125" i="12" s="1"/>
  <c r="U121" i="12"/>
  <c r="V121" i="12" s="1"/>
  <c r="W121" i="12" s="1"/>
  <c r="C122" i="12"/>
  <c r="B125" i="12" s="1"/>
  <c r="B121" i="12"/>
  <c r="B122" i="12" s="1"/>
  <c r="B117" i="12"/>
  <c r="B118" i="12" s="1"/>
  <c r="C117" i="12"/>
  <c r="C118" i="12" s="1"/>
  <c r="B91" i="17"/>
  <c r="AC113" i="17"/>
  <c r="C113" i="17"/>
  <c r="D113" i="17"/>
  <c r="E113" i="17"/>
  <c r="F113" i="17"/>
  <c r="G113" i="17"/>
  <c r="H113" i="17"/>
  <c r="I113" i="17"/>
  <c r="J113" i="17"/>
  <c r="K113" i="17"/>
  <c r="L113" i="17"/>
  <c r="M113" i="17"/>
  <c r="N113" i="17"/>
  <c r="O113" i="17"/>
  <c r="P113" i="17"/>
  <c r="Q113" i="17"/>
  <c r="R113" i="17"/>
  <c r="S113" i="17"/>
  <c r="T113" i="17"/>
  <c r="U113" i="17"/>
  <c r="V113" i="17"/>
  <c r="W113" i="17"/>
  <c r="X113" i="17"/>
  <c r="Y113" i="17"/>
  <c r="Z113" i="17"/>
  <c r="AA113" i="17"/>
  <c r="AB113" i="17"/>
  <c r="B113" i="17"/>
  <c r="B119" i="17" s="1"/>
  <c r="B120" i="17" s="1"/>
  <c r="B230" i="17"/>
  <c r="B229" i="17"/>
  <c r="B228" i="17"/>
  <c r="C89" i="17"/>
  <c r="D89" i="17"/>
  <c r="E89" i="17"/>
  <c r="F89" i="17"/>
  <c r="G89" i="17"/>
  <c r="H89" i="17"/>
  <c r="I89" i="17"/>
  <c r="J89" i="17"/>
  <c r="K89" i="17"/>
  <c r="L89" i="17"/>
  <c r="M89" i="17"/>
  <c r="N89" i="17"/>
  <c r="O89" i="17"/>
  <c r="P89" i="17"/>
  <c r="Q89" i="17"/>
  <c r="R89" i="17"/>
  <c r="S89" i="17"/>
  <c r="T89" i="17"/>
  <c r="U89" i="17"/>
  <c r="V89" i="17"/>
  <c r="W89" i="17"/>
  <c r="X89" i="17"/>
  <c r="Y89" i="17"/>
  <c r="Z89" i="17"/>
  <c r="AA89" i="17"/>
  <c r="AB89" i="17"/>
  <c r="AC89" i="17"/>
  <c r="B89" i="17"/>
  <c r="B100" i="17" s="1"/>
  <c r="B101" i="17" s="1"/>
  <c r="C63" i="17"/>
  <c r="D63" i="17"/>
  <c r="E63" i="17"/>
  <c r="F63" i="17"/>
  <c r="G63" i="17"/>
  <c r="H63" i="17"/>
  <c r="I63" i="17"/>
  <c r="J63" i="17"/>
  <c r="K63" i="17"/>
  <c r="L63" i="17"/>
  <c r="M63" i="17"/>
  <c r="N63" i="17"/>
  <c r="O63" i="17"/>
  <c r="P63" i="17"/>
  <c r="Q63" i="17"/>
  <c r="R63" i="17"/>
  <c r="S63" i="17"/>
  <c r="T63" i="17"/>
  <c r="U63" i="17"/>
  <c r="V63" i="17"/>
  <c r="W63" i="17"/>
  <c r="X63" i="17"/>
  <c r="Y63" i="17"/>
  <c r="Z63" i="17"/>
  <c r="AA63" i="17"/>
  <c r="AB63" i="17"/>
  <c r="AC63" i="17"/>
  <c r="B63" i="17"/>
  <c r="B69" i="17" s="1"/>
  <c r="B216" i="17"/>
  <c r="B54" i="12"/>
  <c r="B52" i="12"/>
  <c r="B213" i="17"/>
  <c r="B212" i="17"/>
  <c r="B211" i="17"/>
  <c r="B210" i="17"/>
  <c r="C39" i="17"/>
  <c r="D39" i="17"/>
  <c r="E39" i="17"/>
  <c r="F39" i="17"/>
  <c r="G39" i="17"/>
  <c r="H39" i="17"/>
  <c r="I39" i="17"/>
  <c r="J39" i="17"/>
  <c r="K39" i="17"/>
  <c r="L39" i="17"/>
  <c r="M39" i="17"/>
  <c r="N39" i="17"/>
  <c r="O39" i="17"/>
  <c r="P39" i="17"/>
  <c r="Q39" i="17"/>
  <c r="R39" i="17"/>
  <c r="S39" i="17"/>
  <c r="T39" i="17"/>
  <c r="U39" i="17"/>
  <c r="V39" i="17"/>
  <c r="W39" i="17"/>
  <c r="X39" i="17"/>
  <c r="Y39" i="17"/>
  <c r="Z39" i="17"/>
  <c r="AA39" i="17"/>
  <c r="AB39" i="17"/>
  <c r="AC39" i="17"/>
  <c r="B39" i="17"/>
  <c r="B55" i="17" s="1"/>
  <c r="AA20" i="12"/>
  <c r="AB20" i="12" s="1"/>
  <c r="AC20" i="12" s="1"/>
  <c r="AD20" i="12" s="1"/>
  <c r="AE20" i="12" s="1"/>
  <c r="AF20" i="12" s="1"/>
  <c r="AG20" i="12" s="1"/>
  <c r="AH20" i="12" s="1"/>
  <c r="AI20" i="12" s="1"/>
  <c r="AJ20" i="12" s="1"/>
  <c r="AA21" i="12"/>
  <c r="AB21" i="12" s="1"/>
  <c r="AC21" i="12" s="1"/>
  <c r="AD21" i="12" s="1"/>
  <c r="AE21" i="12" s="1"/>
  <c r="AF21" i="12" s="1"/>
  <c r="AG21" i="12" s="1"/>
  <c r="AH21" i="12" s="1"/>
  <c r="AI21" i="12" s="1"/>
  <c r="AJ21" i="12" s="1"/>
  <c r="AA22" i="12"/>
  <c r="AB22" i="12" s="1"/>
  <c r="AC22" i="12" s="1"/>
  <c r="AA18" i="12"/>
  <c r="AB18" i="12" s="1"/>
  <c r="AA65" i="12"/>
  <c r="AA66" i="12"/>
  <c r="AA67" i="12"/>
  <c r="AA68" i="12"/>
  <c r="C68" i="12"/>
  <c r="D68" i="12" s="1"/>
  <c r="E68" i="12" s="1"/>
  <c r="C67" i="12"/>
  <c r="D67" i="12" s="1"/>
  <c r="C66" i="12"/>
  <c r="B183" i="17"/>
  <c r="P9" i="12"/>
  <c r="O9" i="12"/>
  <c r="N9" i="12"/>
  <c r="M9" i="12"/>
  <c r="B16" i="17"/>
  <c r="B185" i="17"/>
  <c r="B20" i="17"/>
  <c r="B30" i="17"/>
  <c r="D73" i="12"/>
  <c r="Z78" i="12" s="1"/>
  <c r="B44" i="12"/>
  <c r="B45" i="12"/>
  <c r="B195" i="17"/>
  <c r="B194" i="17"/>
  <c r="B231" i="16"/>
  <c r="B144" i="16"/>
  <c r="B230" i="16"/>
  <c r="B143" i="16"/>
  <c r="B234" i="16"/>
  <c r="B147" i="16" s="1"/>
  <c r="B232" i="16"/>
  <c r="B145" i="16" s="1"/>
  <c r="B68" i="16"/>
  <c r="B67" i="16"/>
  <c r="B60" i="16"/>
  <c r="B61" i="16"/>
  <c r="B59" i="16"/>
  <c r="B212" i="16"/>
  <c r="B31" i="16"/>
  <c r="B141" i="17"/>
  <c r="C169" i="2"/>
  <c r="B54" i="17"/>
  <c r="B233" i="16"/>
  <c r="B146" i="16" s="1"/>
  <c r="C216" i="16"/>
  <c r="B135" i="16" s="1"/>
  <c r="C135" i="16" s="1"/>
  <c r="C220" i="16"/>
  <c r="B139" i="16"/>
  <c r="C219" i="16"/>
  <c r="B138" i="16" s="1"/>
  <c r="C218" i="16"/>
  <c r="B137" i="16" s="1"/>
  <c r="C217" i="16"/>
  <c r="B136" i="16" s="1"/>
  <c r="D193" i="16"/>
  <c r="B193" i="16"/>
  <c r="B83" i="16"/>
  <c r="B111" i="16" s="1"/>
  <c r="B99" i="17"/>
  <c r="B104" i="17"/>
  <c r="B94" i="17"/>
  <c r="B49" i="17"/>
  <c r="B44" i="17"/>
  <c r="D197" i="16"/>
  <c r="B196" i="16"/>
  <c r="D198" i="16"/>
  <c r="B195" i="16"/>
  <c r="D199" i="16"/>
  <c r="B194" i="16"/>
  <c r="B197" i="16"/>
  <c r="B198" i="16"/>
  <c r="B199" i="16"/>
  <c r="D194" i="16"/>
  <c r="D196" i="16"/>
  <c r="C198" i="16"/>
  <c r="C194" i="16"/>
  <c r="C197" i="16"/>
  <c r="C199" i="16"/>
  <c r="C196" i="16"/>
  <c r="C195" i="16"/>
  <c r="C193" i="16"/>
  <c r="AC175" i="12"/>
  <c r="AD175" i="12"/>
  <c r="AE175" i="12"/>
  <c r="AF176" i="12" s="1"/>
  <c r="AB175" i="12"/>
  <c r="AB176" i="12" s="1"/>
  <c r="X175" i="12"/>
  <c r="Y175" i="12"/>
  <c r="Z175" i="12"/>
  <c r="W175" i="12"/>
  <c r="W176" i="12" s="1"/>
  <c r="S175" i="12"/>
  <c r="T175" i="12"/>
  <c r="U175" i="12"/>
  <c r="V176" i="12" s="1"/>
  <c r="R175" i="12"/>
  <c r="R176" i="12" s="1"/>
  <c r="N175" i="12"/>
  <c r="O175" i="12"/>
  <c r="P175" i="12"/>
  <c r="M175" i="12"/>
  <c r="M176" i="12" s="1"/>
  <c r="I175" i="12"/>
  <c r="J175" i="12"/>
  <c r="K175" i="12"/>
  <c r="L176" i="12" s="1"/>
  <c r="H175" i="12"/>
  <c r="H176" i="12" s="1"/>
  <c r="F175" i="12"/>
  <c r="E175" i="12"/>
  <c r="D175" i="12"/>
  <c r="D176" i="12" s="1"/>
  <c r="AC169" i="12"/>
  <c r="AD169" i="12"/>
  <c r="AE169" i="12"/>
  <c r="AF170" i="12" s="1"/>
  <c r="AB169" i="12"/>
  <c r="AB170" i="12" s="1"/>
  <c r="X169" i="12"/>
  <c r="Y169" i="12"/>
  <c r="Z169" i="12"/>
  <c r="AA170" i="12" s="1"/>
  <c r="W169" i="12"/>
  <c r="W170" i="12" s="1"/>
  <c r="S169" i="12"/>
  <c r="T169" i="12"/>
  <c r="U169" i="12"/>
  <c r="V170" i="12" s="1"/>
  <c r="R169" i="12"/>
  <c r="R170" i="12" s="1"/>
  <c r="N169" i="12"/>
  <c r="O169" i="12"/>
  <c r="P169" i="12"/>
  <c r="M169" i="12"/>
  <c r="M170" i="12" s="1"/>
  <c r="I169" i="12"/>
  <c r="J169" i="12"/>
  <c r="K169" i="12"/>
  <c r="L170" i="12" s="1"/>
  <c r="H169" i="12"/>
  <c r="H170" i="12" s="1"/>
  <c r="D169" i="12"/>
  <c r="E169" i="12"/>
  <c r="F169" i="12"/>
  <c r="G170" i="12" s="1"/>
  <c r="C169" i="12"/>
  <c r="AC167" i="12"/>
  <c r="AD167" i="12"/>
  <c r="AE167" i="12"/>
  <c r="AB167" i="12"/>
  <c r="AB168" i="12" s="1"/>
  <c r="X167" i="12"/>
  <c r="Y167" i="12"/>
  <c r="Z167" i="12"/>
  <c r="W167" i="12"/>
  <c r="W168" i="12" s="1"/>
  <c r="S167" i="12"/>
  <c r="T167" i="12"/>
  <c r="U167" i="12"/>
  <c r="V168" i="12" s="1"/>
  <c r="R167" i="12"/>
  <c r="R168" i="12" s="1"/>
  <c r="N167" i="12"/>
  <c r="O167" i="12"/>
  <c r="P167" i="12"/>
  <c r="Q168" i="12" s="1"/>
  <c r="M167" i="12"/>
  <c r="M168" i="12" s="1"/>
  <c r="I167" i="12"/>
  <c r="J167" i="12"/>
  <c r="K167" i="12"/>
  <c r="L168" i="12" s="1"/>
  <c r="H167" i="12"/>
  <c r="H168" i="12" s="1"/>
  <c r="D167" i="12"/>
  <c r="E167" i="12"/>
  <c r="F167" i="12"/>
  <c r="C167" i="12"/>
  <c r="AC172" i="12"/>
  <c r="AD172" i="12"/>
  <c r="AE172" i="12"/>
  <c r="AF173" i="12" s="1"/>
  <c r="AB172" i="12"/>
  <c r="AB173" i="12" s="1"/>
  <c r="X172" i="12"/>
  <c r="Y172" i="12"/>
  <c r="Z172" i="12"/>
  <c r="AA173" i="12" s="1"/>
  <c r="W172" i="12"/>
  <c r="W173" i="12" s="1"/>
  <c r="S172" i="12"/>
  <c r="T172" i="12"/>
  <c r="U172" i="12"/>
  <c r="V173" i="12" s="1"/>
  <c r="R172" i="12"/>
  <c r="N172" i="12"/>
  <c r="O172" i="12"/>
  <c r="P172" i="12"/>
  <c r="Q173" i="12" s="1"/>
  <c r="M172" i="12"/>
  <c r="M173" i="12" s="1"/>
  <c r="I172" i="12"/>
  <c r="J172" i="12"/>
  <c r="K172" i="12"/>
  <c r="H172" i="12"/>
  <c r="H173" i="12" s="1"/>
  <c r="D172" i="12"/>
  <c r="D173" i="12" s="1"/>
  <c r="F172" i="12"/>
  <c r="G173" i="12" s="1"/>
  <c r="E172" i="12"/>
  <c r="D159" i="12"/>
  <c r="E159" i="12"/>
  <c r="F160" i="12" s="1"/>
  <c r="C159" i="12"/>
  <c r="C160" i="12" s="1"/>
  <c r="G159" i="12"/>
  <c r="G160" i="12" s="1"/>
  <c r="M159" i="12"/>
  <c r="N159" i="12"/>
  <c r="O159" i="12"/>
  <c r="L159" i="12"/>
  <c r="R159" i="12"/>
  <c r="S159" i="12"/>
  <c r="T159" i="12"/>
  <c r="U160" i="12" s="1"/>
  <c r="Q159" i="12"/>
  <c r="Q160" i="12" s="1"/>
  <c r="W159" i="12"/>
  <c r="X159" i="12"/>
  <c r="Y159" i="12"/>
  <c r="V159" i="12"/>
  <c r="V160" i="12" s="1"/>
  <c r="AB159" i="12"/>
  <c r="AC159" i="12"/>
  <c r="AD159" i="12"/>
  <c r="AE160" i="12" s="1"/>
  <c r="AA159" i="12"/>
  <c r="AA160" i="12" s="1"/>
  <c r="M162" i="12"/>
  <c r="N162" i="12"/>
  <c r="O162" i="12"/>
  <c r="P163" i="12" s="1"/>
  <c r="L162" i="12"/>
  <c r="L163" i="12" s="1"/>
  <c r="R162" i="12"/>
  <c r="S162" i="12"/>
  <c r="T162" i="12"/>
  <c r="Q162" i="12"/>
  <c r="Q163" i="12" s="1"/>
  <c r="W162" i="12"/>
  <c r="X162" i="12"/>
  <c r="Y162" i="12"/>
  <c r="V162" i="12"/>
  <c r="V163" i="12" s="1"/>
  <c r="AB162" i="12"/>
  <c r="AC162" i="12"/>
  <c r="AD162" i="12"/>
  <c r="AE163" i="12" s="1"/>
  <c r="AA162" i="12"/>
  <c r="G162" i="12"/>
  <c r="G163" i="12" s="1"/>
  <c r="J162" i="12"/>
  <c r="K163" i="12" s="1"/>
  <c r="I162" i="12"/>
  <c r="H162" i="12"/>
  <c r="C162" i="12"/>
  <c r="D162" i="12"/>
  <c r="E162" i="12"/>
  <c r="J157" i="12"/>
  <c r="F157" i="12"/>
  <c r="D157" i="12"/>
  <c r="AE157" i="12"/>
  <c r="AD157" i="12"/>
  <c r="AC157" i="12"/>
  <c r="AB157" i="12"/>
  <c r="AA157" i="12"/>
  <c r="Z157" i="12"/>
  <c r="Y157" i="12"/>
  <c r="X157" i="12"/>
  <c r="W157" i="12"/>
  <c r="V157" i="12"/>
  <c r="U157" i="12"/>
  <c r="T157" i="12"/>
  <c r="S157" i="12"/>
  <c r="R157" i="12"/>
  <c r="Q157" i="12"/>
  <c r="P157" i="12"/>
  <c r="O157" i="12"/>
  <c r="N157" i="12"/>
  <c r="M157" i="12"/>
  <c r="L157" i="12"/>
  <c r="K157" i="12"/>
  <c r="I157" i="12"/>
  <c r="H157" i="12"/>
  <c r="G157" i="12"/>
  <c r="E157" i="12"/>
  <c r="C65" i="16" s="1"/>
  <c r="C76" i="16"/>
  <c r="D76" i="16"/>
  <c r="E76" i="16"/>
  <c r="F76" i="16"/>
  <c r="G76" i="16"/>
  <c r="H76" i="16"/>
  <c r="I76" i="16"/>
  <c r="J76" i="16"/>
  <c r="K76" i="16"/>
  <c r="L76" i="16"/>
  <c r="M76" i="16"/>
  <c r="N76" i="16"/>
  <c r="O76" i="16"/>
  <c r="P76" i="16"/>
  <c r="Q76" i="16"/>
  <c r="R76" i="16"/>
  <c r="S76" i="16"/>
  <c r="T76" i="16"/>
  <c r="U76" i="16"/>
  <c r="V76" i="16"/>
  <c r="W76" i="16"/>
  <c r="X76" i="16"/>
  <c r="Y76" i="16"/>
  <c r="Z76" i="16"/>
  <c r="AA76" i="16"/>
  <c r="AB76" i="16"/>
  <c r="AC76" i="16"/>
  <c r="C77" i="16"/>
  <c r="D77" i="16"/>
  <c r="E77" i="16"/>
  <c r="F77" i="16"/>
  <c r="G77" i="16"/>
  <c r="H77" i="16"/>
  <c r="I77" i="16"/>
  <c r="J77" i="16"/>
  <c r="K77" i="16"/>
  <c r="L77" i="16"/>
  <c r="M77" i="16"/>
  <c r="N77" i="16"/>
  <c r="O77" i="16"/>
  <c r="P77" i="16"/>
  <c r="Q77" i="16"/>
  <c r="R77" i="16"/>
  <c r="S77" i="16"/>
  <c r="T77" i="16"/>
  <c r="U77" i="16"/>
  <c r="V77" i="16"/>
  <c r="W77" i="16"/>
  <c r="X77" i="16"/>
  <c r="Y77" i="16"/>
  <c r="Z77" i="16"/>
  <c r="AA77" i="16"/>
  <c r="AB77" i="16"/>
  <c r="AC77" i="16"/>
  <c r="C78" i="16"/>
  <c r="D78" i="16"/>
  <c r="E78" i="16"/>
  <c r="F78" i="16"/>
  <c r="G78" i="16"/>
  <c r="H78" i="16"/>
  <c r="I78" i="16"/>
  <c r="J78" i="16"/>
  <c r="K78" i="16"/>
  <c r="L78" i="16"/>
  <c r="M78" i="16"/>
  <c r="N78" i="16"/>
  <c r="O78" i="16"/>
  <c r="P78" i="16"/>
  <c r="Q78" i="16"/>
  <c r="R78" i="16"/>
  <c r="S78" i="16"/>
  <c r="T78" i="16"/>
  <c r="U78" i="16"/>
  <c r="V78" i="16"/>
  <c r="W78" i="16"/>
  <c r="X78" i="16"/>
  <c r="Y78" i="16"/>
  <c r="Z78" i="16"/>
  <c r="AA78" i="16"/>
  <c r="AB78" i="16"/>
  <c r="AC78" i="16"/>
  <c r="B41" i="16"/>
  <c r="C41" i="16" s="1"/>
  <c r="B46" i="16"/>
  <c r="B205" i="16"/>
  <c r="C63" i="2"/>
  <c r="D63" i="2" s="1"/>
  <c r="E63" i="2" s="1"/>
  <c r="F63" i="2" s="1"/>
  <c r="G63" i="2" s="1"/>
  <c r="H63" i="2" s="1"/>
  <c r="I63" i="2" s="1"/>
  <c r="J63" i="2" s="1"/>
  <c r="K63" i="2" s="1"/>
  <c r="L63" i="2" s="1"/>
  <c r="M63" i="2" s="1"/>
  <c r="N63" i="2" s="1"/>
  <c r="O63" i="2" s="1"/>
  <c r="P63" i="2" s="1"/>
  <c r="Q63" i="2" s="1"/>
  <c r="R63" i="2" s="1"/>
  <c r="S63" i="2" s="1"/>
  <c r="T63" i="2" s="1"/>
  <c r="U63" i="2" s="1"/>
  <c r="V63" i="2" s="1"/>
  <c r="W63" i="2" s="1"/>
  <c r="X63" i="2" s="1"/>
  <c r="Y63" i="2" s="1"/>
  <c r="Z63" i="2" s="1"/>
  <c r="AA63" i="2" s="1"/>
  <c r="AB63" i="2" s="1"/>
  <c r="AC63" i="2" s="1"/>
  <c r="B85" i="16"/>
  <c r="B87" i="16"/>
  <c r="B89" i="16"/>
  <c r="D136" i="12"/>
  <c r="E136" i="12"/>
  <c r="F136" i="12"/>
  <c r="C136" i="12"/>
  <c r="I136" i="12"/>
  <c r="J136" i="12"/>
  <c r="K136" i="12"/>
  <c r="H136" i="12"/>
  <c r="N136" i="12"/>
  <c r="O136" i="12"/>
  <c r="P136" i="12"/>
  <c r="M136" i="12"/>
  <c r="S136" i="12"/>
  <c r="T136" i="12"/>
  <c r="U136" i="12"/>
  <c r="R136" i="12"/>
  <c r="X136" i="12"/>
  <c r="Y136" i="12"/>
  <c r="Z136" i="12"/>
  <c r="W136" i="12"/>
  <c r="AC136" i="12"/>
  <c r="AD136" i="12"/>
  <c r="AE136" i="12"/>
  <c r="AB136" i="12"/>
  <c r="AC143" i="12"/>
  <c r="AD143" i="12"/>
  <c r="AE143" i="12"/>
  <c r="AB143" i="12"/>
  <c r="X143" i="12"/>
  <c r="Y143" i="12"/>
  <c r="Z143" i="12"/>
  <c r="W143" i="12"/>
  <c r="S143" i="12"/>
  <c r="T143" i="12"/>
  <c r="U143" i="12"/>
  <c r="R143" i="12"/>
  <c r="N143" i="12"/>
  <c r="O143" i="12"/>
  <c r="P143" i="12"/>
  <c r="M143" i="12"/>
  <c r="I143" i="12"/>
  <c r="J143" i="12"/>
  <c r="K143" i="12"/>
  <c r="H143" i="12"/>
  <c r="C143" i="12"/>
  <c r="D143" i="12"/>
  <c r="E143" i="12"/>
  <c r="F143" i="12"/>
  <c r="B23" i="12"/>
  <c r="D20" i="12"/>
  <c r="E20" i="12"/>
  <c r="F20" i="12"/>
  <c r="G20" i="12"/>
  <c r="H20" i="12"/>
  <c r="I20" i="12"/>
  <c r="J20" i="12"/>
  <c r="K20" i="12"/>
  <c r="L20" i="12"/>
  <c r="M20" i="12"/>
  <c r="N20" i="12"/>
  <c r="O20" i="12"/>
  <c r="P20" i="12"/>
  <c r="Q20" i="12"/>
  <c r="R20" i="12"/>
  <c r="S20" i="12"/>
  <c r="T20" i="12"/>
  <c r="U20" i="12"/>
  <c r="V20" i="12"/>
  <c r="W20" i="12"/>
  <c r="X20" i="12"/>
  <c r="Y20" i="12"/>
  <c r="D21" i="12"/>
  <c r="E21" i="12"/>
  <c r="F21" i="12"/>
  <c r="G21" i="12"/>
  <c r="H21" i="12"/>
  <c r="I21" i="12"/>
  <c r="J21" i="12"/>
  <c r="K21" i="12"/>
  <c r="L21" i="12"/>
  <c r="M21" i="12"/>
  <c r="N21" i="12"/>
  <c r="O21" i="12"/>
  <c r="P21" i="12"/>
  <c r="Q21" i="12"/>
  <c r="R21" i="12"/>
  <c r="S21" i="12"/>
  <c r="T21" i="12"/>
  <c r="U21" i="12"/>
  <c r="V21" i="12"/>
  <c r="W21" i="12"/>
  <c r="X21" i="12"/>
  <c r="Y21" i="12"/>
  <c r="D22" i="12"/>
  <c r="E22" i="12"/>
  <c r="F22" i="12"/>
  <c r="G22" i="12"/>
  <c r="H22" i="12"/>
  <c r="I22" i="12"/>
  <c r="J22" i="12"/>
  <c r="K22" i="12"/>
  <c r="L22" i="12"/>
  <c r="M22" i="12"/>
  <c r="N22" i="12"/>
  <c r="O22" i="12"/>
  <c r="P22" i="12"/>
  <c r="Q22" i="12"/>
  <c r="R22" i="12"/>
  <c r="S22" i="12"/>
  <c r="T22" i="12"/>
  <c r="U22" i="12"/>
  <c r="V22" i="12"/>
  <c r="W22" i="12"/>
  <c r="X22" i="12"/>
  <c r="Y22" i="12"/>
  <c r="C22" i="12"/>
  <c r="C21" i="12"/>
  <c r="D18" i="12"/>
  <c r="E18" i="12"/>
  <c r="F18" i="12"/>
  <c r="G18" i="12"/>
  <c r="H18" i="12"/>
  <c r="I18" i="12"/>
  <c r="J18" i="12"/>
  <c r="K18" i="12"/>
  <c r="L18" i="12"/>
  <c r="M18" i="12"/>
  <c r="N18" i="12"/>
  <c r="O18" i="12"/>
  <c r="P18" i="12"/>
  <c r="Q18" i="12"/>
  <c r="R18" i="12"/>
  <c r="S18" i="12"/>
  <c r="T18" i="12"/>
  <c r="U18" i="12"/>
  <c r="V18" i="12"/>
  <c r="W18" i="12"/>
  <c r="X18" i="12"/>
  <c r="Y18" i="12"/>
  <c r="C18" i="12"/>
  <c r="Z23" i="12"/>
  <c r="AC135" i="12"/>
  <c r="AD135" i="12"/>
  <c r="AE135" i="12"/>
  <c r="AB135" i="12"/>
  <c r="X135" i="12"/>
  <c r="Y135" i="12"/>
  <c r="Z135" i="12"/>
  <c r="W135" i="12"/>
  <c r="S135" i="12"/>
  <c r="T135" i="12"/>
  <c r="U135" i="12"/>
  <c r="R135" i="12"/>
  <c r="N135" i="12"/>
  <c r="O135" i="12"/>
  <c r="P135" i="12"/>
  <c r="M135" i="12"/>
  <c r="I135" i="12"/>
  <c r="J135" i="12"/>
  <c r="K135" i="12"/>
  <c r="H135" i="12"/>
  <c r="D135" i="12"/>
  <c r="E135" i="12"/>
  <c r="F135" i="12"/>
  <c r="C135" i="12"/>
  <c r="AC142" i="12"/>
  <c r="AD142" i="12"/>
  <c r="AE142" i="12"/>
  <c r="AB142" i="12"/>
  <c r="X142" i="12"/>
  <c r="Y142" i="12"/>
  <c r="Z142" i="12"/>
  <c r="W142" i="12"/>
  <c r="S142" i="12"/>
  <c r="T142" i="12"/>
  <c r="U142" i="12"/>
  <c r="R142" i="12"/>
  <c r="N142" i="12"/>
  <c r="O142" i="12"/>
  <c r="P142" i="12"/>
  <c r="M142" i="12"/>
  <c r="I142" i="12"/>
  <c r="J142" i="12"/>
  <c r="K142" i="12"/>
  <c r="H142" i="12"/>
  <c r="D142" i="12"/>
  <c r="E142" i="12"/>
  <c r="F142" i="12"/>
  <c r="C142" i="12"/>
  <c r="AC134" i="12"/>
  <c r="AD134" i="12"/>
  <c r="AE134" i="12"/>
  <c r="AB134" i="12"/>
  <c r="X134" i="12"/>
  <c r="Y134" i="12"/>
  <c r="Z134" i="12"/>
  <c r="W134" i="12"/>
  <c r="S134" i="12"/>
  <c r="T134" i="12"/>
  <c r="U134" i="12"/>
  <c r="R134" i="12"/>
  <c r="N134" i="12"/>
  <c r="O134" i="12"/>
  <c r="P134" i="12"/>
  <c r="M134" i="12"/>
  <c r="I134" i="12"/>
  <c r="J134" i="12"/>
  <c r="K134" i="12"/>
  <c r="H134" i="12"/>
  <c r="D134" i="12"/>
  <c r="E134" i="12"/>
  <c r="F134" i="12"/>
  <c r="C134" i="12"/>
  <c r="AC141" i="12"/>
  <c r="AD141" i="12"/>
  <c r="AE141" i="12"/>
  <c r="AB141" i="12"/>
  <c r="X141" i="12"/>
  <c r="Y141" i="12"/>
  <c r="Z141" i="12"/>
  <c r="W141" i="12"/>
  <c r="S141" i="12"/>
  <c r="T141" i="12"/>
  <c r="U141" i="12"/>
  <c r="R141" i="12"/>
  <c r="N141" i="12"/>
  <c r="O141" i="12"/>
  <c r="P141" i="12"/>
  <c r="M141" i="12"/>
  <c r="I141" i="12"/>
  <c r="J141" i="12"/>
  <c r="K141" i="12"/>
  <c r="H141" i="12"/>
  <c r="D141" i="12"/>
  <c r="E141" i="12"/>
  <c r="F141" i="12"/>
  <c r="C141" i="12"/>
  <c r="AC140" i="12"/>
  <c r="AD140" i="12"/>
  <c r="AE140" i="12"/>
  <c r="AB140" i="12"/>
  <c r="X140" i="12"/>
  <c r="Y140" i="12"/>
  <c r="Z140" i="12"/>
  <c r="W140" i="12"/>
  <c r="S140" i="12"/>
  <c r="T140" i="12"/>
  <c r="U140" i="12"/>
  <c r="R140" i="12"/>
  <c r="N140" i="12"/>
  <c r="O140" i="12"/>
  <c r="P140" i="12"/>
  <c r="M140" i="12"/>
  <c r="I140" i="12"/>
  <c r="J140" i="12"/>
  <c r="K140" i="12"/>
  <c r="H140" i="12"/>
  <c r="D140" i="12"/>
  <c r="E140" i="12"/>
  <c r="F140" i="12"/>
  <c r="C140" i="12"/>
  <c r="C139" i="12"/>
  <c r="AC132" i="12"/>
  <c r="AD132" i="12"/>
  <c r="AE132" i="12"/>
  <c r="AB132" i="12"/>
  <c r="X132" i="12"/>
  <c r="Y132" i="12"/>
  <c r="Z132" i="12"/>
  <c r="W132" i="12"/>
  <c r="S132" i="12"/>
  <c r="T132" i="12"/>
  <c r="U132" i="12"/>
  <c r="R132" i="12"/>
  <c r="N132" i="12"/>
  <c r="O132" i="12"/>
  <c r="P132" i="12"/>
  <c r="M132" i="12"/>
  <c r="I132" i="12"/>
  <c r="J132" i="12"/>
  <c r="K132" i="12"/>
  <c r="H132" i="12"/>
  <c r="D132" i="12"/>
  <c r="E132" i="12"/>
  <c r="F132" i="12"/>
  <c r="C132" i="12"/>
  <c r="C133" i="12"/>
  <c r="AC9" i="12"/>
  <c r="AD9" i="12"/>
  <c r="AE9" i="12"/>
  <c r="AC11" i="12"/>
  <c r="AD11" i="12"/>
  <c r="AE11" i="12"/>
  <c r="AC12" i="12"/>
  <c r="AD12" i="12"/>
  <c r="AE12" i="12"/>
  <c r="AC13" i="12"/>
  <c r="AD13" i="12"/>
  <c r="AE13" i="12"/>
  <c r="AB11" i="12"/>
  <c r="AB12" i="12"/>
  <c r="AB13" i="12"/>
  <c r="AB9" i="12"/>
  <c r="X9" i="12"/>
  <c r="Y9" i="12"/>
  <c r="Z9" i="12"/>
  <c r="X11" i="12"/>
  <c r="Y11" i="12"/>
  <c r="Z11" i="12"/>
  <c r="X12" i="12"/>
  <c r="Y12" i="12"/>
  <c r="Z12" i="12"/>
  <c r="X13" i="12"/>
  <c r="Y13" i="12"/>
  <c r="Z13" i="12"/>
  <c r="W13" i="12"/>
  <c r="W12" i="12"/>
  <c r="W11" i="12"/>
  <c r="W9" i="12"/>
  <c r="S9" i="12"/>
  <c r="T9" i="12"/>
  <c r="U9" i="12"/>
  <c r="S11" i="12"/>
  <c r="T11" i="12"/>
  <c r="U11" i="12"/>
  <c r="S12" i="12"/>
  <c r="T12" i="12"/>
  <c r="U12" i="12"/>
  <c r="S13" i="12"/>
  <c r="T13" i="12"/>
  <c r="U13" i="12"/>
  <c r="R13" i="12"/>
  <c r="R12" i="12"/>
  <c r="R11" i="12"/>
  <c r="R9" i="12"/>
  <c r="N11" i="12"/>
  <c r="O11" i="12"/>
  <c r="P11" i="12"/>
  <c r="N12" i="12"/>
  <c r="O12" i="12"/>
  <c r="P12" i="12"/>
  <c r="N13" i="12"/>
  <c r="O13" i="12"/>
  <c r="P13" i="12"/>
  <c r="M12" i="12"/>
  <c r="M13" i="12"/>
  <c r="M11" i="12"/>
  <c r="I9" i="12"/>
  <c r="J9" i="12"/>
  <c r="K9" i="12"/>
  <c r="I11" i="12"/>
  <c r="J11" i="12"/>
  <c r="K11" i="12"/>
  <c r="I12" i="12"/>
  <c r="J12" i="12"/>
  <c r="K12" i="12"/>
  <c r="I13" i="12"/>
  <c r="J13" i="12"/>
  <c r="K13" i="12"/>
  <c r="H13" i="12"/>
  <c r="H12" i="12"/>
  <c r="H11" i="12"/>
  <c r="H9" i="12"/>
  <c r="D9" i="12"/>
  <c r="E9" i="12"/>
  <c r="F9" i="12"/>
  <c r="D11" i="12"/>
  <c r="E11" i="12"/>
  <c r="F11" i="12"/>
  <c r="D12" i="12"/>
  <c r="E12" i="12"/>
  <c r="F12" i="12"/>
  <c r="D13" i="12"/>
  <c r="E13" i="12"/>
  <c r="F13" i="12"/>
  <c r="C13" i="12"/>
  <c r="C12" i="12"/>
  <c r="C9" i="12"/>
  <c r="C11" i="12"/>
  <c r="G14" i="12"/>
  <c r="L14" i="12"/>
  <c r="Q14" i="12"/>
  <c r="V14" i="12"/>
  <c r="AA14" i="12"/>
  <c r="AF14" i="12"/>
  <c r="B14" i="12"/>
  <c r="D133" i="12"/>
  <c r="E133" i="12"/>
  <c r="F133" i="12"/>
  <c r="B151" i="17"/>
  <c r="B123" i="17"/>
  <c r="B118" i="17"/>
  <c r="B65" i="17"/>
  <c r="B68" i="17"/>
  <c r="B78" i="17"/>
  <c r="B73" i="17"/>
  <c r="E155" i="12"/>
  <c r="F155" i="12"/>
  <c r="G155" i="12"/>
  <c r="H155" i="12"/>
  <c r="I155" i="12"/>
  <c r="J155" i="12"/>
  <c r="K155" i="12"/>
  <c r="L155" i="12"/>
  <c r="M155" i="12"/>
  <c r="N155" i="12"/>
  <c r="O155" i="12"/>
  <c r="P155" i="12"/>
  <c r="Q155" i="12"/>
  <c r="R155" i="12"/>
  <c r="S155" i="12"/>
  <c r="T155" i="12"/>
  <c r="U155" i="12"/>
  <c r="V155" i="12"/>
  <c r="W155" i="12"/>
  <c r="X155" i="12"/>
  <c r="Y155" i="12"/>
  <c r="Z155" i="12"/>
  <c r="AA155" i="12"/>
  <c r="AB155" i="12"/>
  <c r="AC155" i="12"/>
  <c r="AD155" i="12"/>
  <c r="AE155" i="12"/>
  <c r="D155" i="12"/>
  <c r="N139" i="12"/>
  <c r="M139" i="12"/>
  <c r="J139" i="12"/>
  <c r="H139" i="12"/>
  <c r="E139" i="12"/>
  <c r="D139" i="12"/>
  <c r="F139" i="12"/>
  <c r="AB139" i="12"/>
  <c r="AC139" i="12"/>
  <c r="AD139" i="12"/>
  <c r="AE139" i="12"/>
  <c r="X139" i="12"/>
  <c r="Y139" i="12"/>
  <c r="Z139" i="12"/>
  <c r="W139" i="12"/>
  <c r="S139" i="12"/>
  <c r="T139" i="12"/>
  <c r="U139" i="12"/>
  <c r="R139" i="12"/>
  <c r="O139" i="12"/>
  <c r="P139" i="12"/>
  <c r="I139" i="12"/>
  <c r="K139" i="12"/>
  <c r="AC133" i="12"/>
  <c r="AB133" i="12"/>
  <c r="H133" i="12"/>
  <c r="AD133" i="12"/>
  <c r="AE133" i="12"/>
  <c r="X133" i="12"/>
  <c r="Y133" i="12"/>
  <c r="Z133" i="12"/>
  <c r="W133" i="12"/>
  <c r="S133" i="12"/>
  <c r="T133" i="12"/>
  <c r="U133" i="12"/>
  <c r="R133" i="12"/>
  <c r="P133" i="12"/>
  <c r="N133" i="12"/>
  <c r="O133" i="12"/>
  <c r="M133" i="12"/>
  <c r="I133" i="12"/>
  <c r="J133" i="12"/>
  <c r="K133" i="12"/>
  <c r="A14" i="1"/>
  <c r="A15" i="1"/>
  <c r="B98" i="16"/>
  <c r="B123" i="16" s="1"/>
  <c r="B90" i="16"/>
  <c r="B117" i="16" s="1"/>
  <c r="B93" i="16"/>
  <c r="B119" i="16" s="1"/>
  <c r="B94" i="16"/>
  <c r="E99" i="12" l="1"/>
  <c r="E100" i="12" s="1"/>
  <c r="F91" i="12"/>
  <c r="D99" i="12"/>
  <c r="D100" i="12" s="1"/>
  <c r="C70" i="12"/>
  <c r="C79" i="12"/>
  <c r="C80" i="12" s="1"/>
  <c r="D65" i="12"/>
  <c r="E65" i="12" s="1"/>
  <c r="F65" i="12" s="1"/>
  <c r="B79" i="12"/>
  <c r="B80" i="12" s="1"/>
  <c r="Y173" i="12"/>
  <c r="B47" i="12"/>
  <c r="B48" i="12" s="1"/>
  <c r="C35" i="12"/>
  <c r="C45" i="12" s="1"/>
  <c r="Q121" i="12"/>
  <c r="Q122" i="12" s="1"/>
  <c r="P125" i="12" s="1"/>
  <c r="B74" i="17"/>
  <c r="B75" i="17" s="1"/>
  <c r="E168" i="12"/>
  <c r="F168" i="12"/>
  <c r="C54" i="16" s="1"/>
  <c r="C52" i="12"/>
  <c r="D52" i="12" s="1"/>
  <c r="E52" i="12" s="1"/>
  <c r="F52" i="12" s="1"/>
  <c r="G52" i="12" s="1"/>
  <c r="H52" i="12" s="1"/>
  <c r="I52" i="12" s="1"/>
  <c r="J52" i="12" s="1"/>
  <c r="K52" i="12" s="1"/>
  <c r="L52" i="12" s="1"/>
  <c r="M52" i="12" s="1"/>
  <c r="N52" i="12" s="1"/>
  <c r="O52" i="12" s="1"/>
  <c r="P52" i="12" s="1"/>
  <c r="Q52" i="12" s="1"/>
  <c r="R52" i="12" s="1"/>
  <c r="S52" i="12" s="1"/>
  <c r="T52" i="12" s="1"/>
  <c r="U52" i="12" s="1"/>
  <c r="V52" i="12" s="1"/>
  <c r="W52" i="12" s="1"/>
  <c r="X52" i="12" s="1"/>
  <c r="Y52" i="12" s="1"/>
  <c r="Z52" i="12" s="1"/>
  <c r="AA52" i="12" s="1"/>
  <c r="AB52" i="12" s="1"/>
  <c r="AC52" i="12" s="1"/>
  <c r="AD52" i="12" s="1"/>
  <c r="B124" i="17"/>
  <c r="B125" i="17" s="1"/>
  <c r="B129" i="17" s="1"/>
  <c r="G168" i="12"/>
  <c r="B45" i="17"/>
  <c r="B46" i="17" s="1"/>
  <c r="C34" i="12"/>
  <c r="D34" i="12" s="1"/>
  <c r="S173" i="12"/>
  <c r="X168" i="12"/>
  <c r="B142" i="17"/>
  <c r="Z77" i="12"/>
  <c r="P168" i="12"/>
  <c r="B95" i="12"/>
  <c r="AB23" i="12"/>
  <c r="C33" i="12"/>
  <c r="C43" i="12" s="1"/>
  <c r="AC163" i="12"/>
  <c r="S163" i="12"/>
  <c r="AD173" i="12"/>
  <c r="AE168" i="12"/>
  <c r="Z170" i="12"/>
  <c r="B96" i="12"/>
  <c r="D117" i="12"/>
  <c r="D118" i="12" s="1"/>
  <c r="P14" i="12"/>
  <c r="W14" i="12"/>
  <c r="W15" i="12" s="1"/>
  <c r="I168" i="12"/>
  <c r="N160" i="12"/>
  <c r="J168" i="12"/>
  <c r="I176" i="12"/>
  <c r="S176" i="12"/>
  <c r="AC176" i="12"/>
  <c r="B76" i="12"/>
  <c r="O14" i="12"/>
  <c r="H14" i="12"/>
  <c r="H15" i="12" s="1"/>
  <c r="N14" i="12"/>
  <c r="S14" i="12"/>
  <c r="X14" i="12"/>
  <c r="AA23" i="12"/>
  <c r="AA24" i="12" s="1"/>
  <c r="C53" i="12"/>
  <c r="D53" i="12" s="1"/>
  <c r="E53" i="12" s="1"/>
  <c r="F53" i="12" s="1"/>
  <c r="G53" i="12" s="1"/>
  <c r="H53" i="12" s="1"/>
  <c r="I53" i="12" s="1"/>
  <c r="J53" i="12" s="1"/>
  <c r="K53" i="12" s="1"/>
  <c r="L53" i="12" s="1"/>
  <c r="M53" i="12" s="1"/>
  <c r="N53" i="12" s="1"/>
  <c r="O53" i="12" s="1"/>
  <c r="P53" i="12" s="1"/>
  <c r="Q53" i="12" s="1"/>
  <c r="R53" i="12" s="1"/>
  <c r="S53" i="12" s="1"/>
  <c r="T53" i="12" s="1"/>
  <c r="U53" i="12" s="1"/>
  <c r="V53" i="12" s="1"/>
  <c r="W53" i="12" s="1"/>
  <c r="X53" i="12" s="1"/>
  <c r="Y53" i="12" s="1"/>
  <c r="Z53" i="12" s="1"/>
  <c r="AA53" i="12" s="1"/>
  <c r="AB53" i="12" s="1"/>
  <c r="AC53" i="12" s="1"/>
  <c r="AD53" i="12" s="1"/>
  <c r="E170" i="12"/>
  <c r="O170" i="12"/>
  <c r="Y170" i="12"/>
  <c r="F176" i="12"/>
  <c r="C143" i="16" s="1"/>
  <c r="C75" i="12"/>
  <c r="W23" i="12"/>
  <c r="O23" i="12"/>
  <c r="G23" i="12"/>
  <c r="T160" i="12"/>
  <c r="K176" i="12"/>
  <c r="AE176" i="12"/>
  <c r="Z76" i="12"/>
  <c r="R23" i="12"/>
  <c r="Y23" i="12"/>
  <c r="Z24" i="12" s="1"/>
  <c r="R163" i="12"/>
  <c r="I163" i="12"/>
  <c r="Z75" i="12"/>
  <c r="M14" i="12"/>
  <c r="M15" i="12" s="1"/>
  <c r="B79" i="17"/>
  <c r="B80" i="17" s="1"/>
  <c r="B81" i="17" s="1"/>
  <c r="B85" i="17" s="1"/>
  <c r="B167" i="17" s="1"/>
  <c r="K173" i="12"/>
  <c r="R173" i="12"/>
  <c r="AB160" i="12"/>
  <c r="J173" i="12"/>
  <c r="B152" i="17"/>
  <c r="B155" i="17" s="1"/>
  <c r="X23" i="12"/>
  <c r="P23" i="12"/>
  <c r="H23" i="12"/>
  <c r="N23" i="12"/>
  <c r="F23" i="12"/>
  <c r="T23" i="12"/>
  <c r="L23" i="12"/>
  <c r="D23" i="12"/>
  <c r="N176" i="12"/>
  <c r="X176" i="12"/>
  <c r="H159" i="12"/>
  <c r="I159" i="12" s="1"/>
  <c r="B97" i="12"/>
  <c r="AA76" i="12"/>
  <c r="U170" i="12"/>
  <c r="X160" i="12"/>
  <c r="K168" i="12"/>
  <c r="D14" i="12"/>
  <c r="K14" i="12"/>
  <c r="L15" i="12" s="1"/>
  <c r="I14" i="12"/>
  <c r="R14" i="12"/>
  <c r="R15" i="12" s="1"/>
  <c r="Y14" i="12"/>
  <c r="AB14" i="12"/>
  <c r="AB15" i="12" s="1"/>
  <c r="AD14" i="12"/>
  <c r="B70" i="17"/>
  <c r="B71" i="17" s="1"/>
  <c r="G176" i="12"/>
  <c r="J163" i="12"/>
  <c r="U168" i="12"/>
  <c r="AF168" i="12"/>
  <c r="B95" i="17"/>
  <c r="B96" i="17" s="1"/>
  <c r="B97" i="17" s="1"/>
  <c r="AB66" i="12"/>
  <c r="AB76" i="12" s="1"/>
  <c r="C76" i="12"/>
  <c r="AC18" i="12"/>
  <c r="AD18" i="12" s="1"/>
  <c r="AE18" i="12" s="1"/>
  <c r="AF18" i="12" s="1"/>
  <c r="AG18" i="12" s="1"/>
  <c r="AH18" i="12" s="1"/>
  <c r="B138" i="17"/>
  <c r="AE14" i="12"/>
  <c r="AF15" i="12" s="1"/>
  <c r="AD176" i="12"/>
  <c r="T14" i="12"/>
  <c r="L160" i="12"/>
  <c r="I173" i="12"/>
  <c r="AD168" i="12"/>
  <c r="AD170" i="12"/>
  <c r="C77" i="12"/>
  <c r="S160" i="12"/>
  <c r="AC14" i="12"/>
  <c r="W163" i="12"/>
  <c r="C14" i="12"/>
  <c r="C15" i="12" s="1"/>
  <c r="S23" i="12"/>
  <c r="L173" i="12"/>
  <c r="B105" i="17"/>
  <c r="B106" i="17" s="1"/>
  <c r="B107" i="17" s="1"/>
  <c r="B111" i="17" s="1"/>
  <c r="K23" i="12"/>
  <c r="C23" i="12"/>
  <c r="C24" i="12" s="1"/>
  <c r="AD163" i="12"/>
  <c r="AE170" i="12"/>
  <c r="H163" i="12"/>
  <c r="Y168" i="12"/>
  <c r="O176" i="12"/>
  <c r="Y176" i="12"/>
  <c r="K117" i="12"/>
  <c r="K118" i="12" s="1"/>
  <c r="E225" i="12"/>
  <c r="F225" i="12" s="1"/>
  <c r="C51" i="12"/>
  <c r="P173" i="12"/>
  <c r="X173" i="12"/>
  <c r="AC173" i="12"/>
  <c r="N170" i="12"/>
  <c r="AB65" i="12"/>
  <c r="AC65" i="12" s="1"/>
  <c r="AD65" i="12" s="1"/>
  <c r="AD75" i="12" s="1"/>
  <c r="B110" i="17"/>
  <c r="B102" i="17"/>
  <c r="E78" i="12"/>
  <c r="F68" i="12"/>
  <c r="AD22" i="12"/>
  <c r="AE22" i="12" s="1"/>
  <c r="AF22" i="12" s="1"/>
  <c r="AC170" i="12"/>
  <c r="O163" i="12"/>
  <c r="W160" i="12"/>
  <c r="X170" i="12"/>
  <c r="AE173" i="12"/>
  <c r="R160" i="12"/>
  <c r="F170" i="12"/>
  <c r="C64" i="16" s="1"/>
  <c r="D64" i="16" s="1"/>
  <c r="E64" i="16" s="1"/>
  <c r="M160" i="12"/>
  <c r="U122" i="12"/>
  <c r="T125" i="12" s="1"/>
  <c r="B29" i="17"/>
  <c r="E176" i="12"/>
  <c r="E14" i="12"/>
  <c r="F14" i="12"/>
  <c r="J14" i="12"/>
  <c r="Q23" i="12"/>
  <c r="J23" i="12"/>
  <c r="I170" i="12"/>
  <c r="J176" i="12"/>
  <c r="I117" i="12"/>
  <c r="V122" i="12"/>
  <c r="U125" i="12" s="1"/>
  <c r="D66" i="12"/>
  <c r="D76" i="12" s="1"/>
  <c r="Z173" i="12"/>
  <c r="E160" i="12"/>
  <c r="U14" i="12"/>
  <c r="Z14" i="12"/>
  <c r="U23" i="12"/>
  <c r="M23" i="12"/>
  <c r="E23" i="12"/>
  <c r="D160" i="12"/>
  <c r="X163" i="12"/>
  <c r="Z168" i="12"/>
  <c r="J117" i="12"/>
  <c r="J118" i="12" s="1"/>
  <c r="N117" i="12"/>
  <c r="AD117" i="12" s="1"/>
  <c r="AD118" i="12" s="1"/>
  <c r="D65" i="16"/>
  <c r="C67" i="16"/>
  <c r="B121" i="17"/>
  <c r="C36" i="12"/>
  <c r="C54" i="12"/>
  <c r="D54" i="12" s="1"/>
  <c r="E54" i="12" s="1"/>
  <c r="F54" i="12" s="1"/>
  <c r="G54" i="12" s="1"/>
  <c r="H54" i="12" s="1"/>
  <c r="I54" i="12" s="1"/>
  <c r="J54" i="12" s="1"/>
  <c r="K54" i="12" s="1"/>
  <c r="L54" i="12" s="1"/>
  <c r="M54" i="12" s="1"/>
  <c r="N54" i="12" s="1"/>
  <c r="O54" i="12" s="1"/>
  <c r="P54" i="12" s="1"/>
  <c r="Q54" i="12" s="1"/>
  <c r="R54" i="12" s="1"/>
  <c r="S54" i="12" s="1"/>
  <c r="T54" i="12" s="1"/>
  <c r="U54" i="12" s="1"/>
  <c r="V54" i="12" s="1"/>
  <c r="W54" i="12" s="1"/>
  <c r="D61" i="2"/>
  <c r="D109" i="2" s="1"/>
  <c r="L61" i="2"/>
  <c r="L109" i="2" s="1"/>
  <c r="T61" i="2"/>
  <c r="T109" i="2" s="1"/>
  <c r="AB61" i="2"/>
  <c r="AB109" i="2" s="1"/>
  <c r="E61" i="2"/>
  <c r="E109" i="2" s="1"/>
  <c r="M61" i="2"/>
  <c r="M109" i="2" s="1"/>
  <c r="U61" i="2"/>
  <c r="U109" i="2" s="1"/>
  <c r="AC61" i="2"/>
  <c r="AC109" i="2" s="1"/>
  <c r="F61" i="2"/>
  <c r="F109" i="2" s="1"/>
  <c r="N61" i="2"/>
  <c r="N109" i="2" s="1"/>
  <c r="V61" i="2"/>
  <c r="V109" i="2" s="1"/>
  <c r="C61" i="2"/>
  <c r="C109" i="2" s="1"/>
  <c r="G61" i="2"/>
  <c r="G109" i="2" s="1"/>
  <c r="O61" i="2"/>
  <c r="O109" i="2" s="1"/>
  <c r="W61" i="2"/>
  <c r="W109" i="2" s="1"/>
  <c r="H61" i="2"/>
  <c r="H109" i="2" s="1"/>
  <c r="P61" i="2"/>
  <c r="P109" i="2" s="1"/>
  <c r="X61" i="2"/>
  <c r="X109" i="2" s="1"/>
  <c r="I61" i="2"/>
  <c r="I109" i="2" s="1"/>
  <c r="Q61" i="2"/>
  <c r="Q109" i="2" s="1"/>
  <c r="Y61" i="2"/>
  <c r="Y109" i="2" s="1"/>
  <c r="J61" i="2"/>
  <c r="J109" i="2" s="1"/>
  <c r="R61" i="2"/>
  <c r="R109" i="2" s="1"/>
  <c r="Z61" i="2"/>
  <c r="Z109" i="2" s="1"/>
  <c r="K61" i="2"/>
  <c r="K109" i="2" s="1"/>
  <c r="S61" i="2"/>
  <c r="S109" i="2" s="1"/>
  <c r="AA61" i="2"/>
  <c r="AA109" i="2" s="1"/>
  <c r="B56" i="17"/>
  <c r="V23" i="12"/>
  <c r="AD160" i="12"/>
  <c r="AC160" i="12"/>
  <c r="T168" i="12"/>
  <c r="S168" i="12"/>
  <c r="J170" i="12"/>
  <c r="K170" i="12"/>
  <c r="C58" i="16"/>
  <c r="C62" i="16"/>
  <c r="D62" i="16" s="1"/>
  <c r="E62" i="16" s="1"/>
  <c r="F62" i="16" s="1"/>
  <c r="G62" i="16" s="1"/>
  <c r="H62" i="16" s="1"/>
  <c r="I62" i="16" s="1"/>
  <c r="J62" i="16" s="1"/>
  <c r="K62" i="16" s="1"/>
  <c r="L62" i="16" s="1"/>
  <c r="M62" i="16" s="1"/>
  <c r="N62" i="16" s="1"/>
  <c r="O62" i="16" s="1"/>
  <c r="P62" i="16" s="1"/>
  <c r="Q62" i="16" s="1"/>
  <c r="R62" i="16" s="1"/>
  <c r="S62" i="16" s="1"/>
  <c r="T62" i="16" s="1"/>
  <c r="U62" i="16" s="1"/>
  <c r="V62" i="16" s="1"/>
  <c r="W62" i="16" s="1"/>
  <c r="X62" i="16" s="1"/>
  <c r="Y62" i="16" s="1"/>
  <c r="Z62" i="16" s="1"/>
  <c r="AA62" i="16" s="1"/>
  <c r="AB62" i="16" s="1"/>
  <c r="AC62" i="16" s="1"/>
  <c r="C56" i="16"/>
  <c r="C57" i="16"/>
  <c r="E163" i="12"/>
  <c r="C147" i="16" s="1"/>
  <c r="F163" i="12"/>
  <c r="Z163" i="12"/>
  <c r="Y163" i="12"/>
  <c r="U173" i="12"/>
  <c r="T173" i="12"/>
  <c r="I23" i="12"/>
  <c r="AA163" i="12"/>
  <c r="AB163" i="12"/>
  <c r="AA168" i="12"/>
  <c r="G65" i="12"/>
  <c r="F75" i="12"/>
  <c r="C163" i="12"/>
  <c r="D163" i="12"/>
  <c r="O168" i="12"/>
  <c r="N168" i="12"/>
  <c r="Y160" i="12"/>
  <c r="Z160" i="12"/>
  <c r="N173" i="12"/>
  <c r="O173" i="12"/>
  <c r="U176" i="12"/>
  <c r="T176" i="12"/>
  <c r="C69" i="16"/>
  <c r="D69" i="16" s="1"/>
  <c r="E69" i="16" s="1"/>
  <c r="F69" i="16" s="1"/>
  <c r="G69" i="16" s="1"/>
  <c r="H69" i="16" s="1"/>
  <c r="I69" i="16" s="1"/>
  <c r="J69" i="16" s="1"/>
  <c r="K69" i="16" s="1"/>
  <c r="L69" i="16" s="1"/>
  <c r="M69" i="16" s="1"/>
  <c r="N69" i="16" s="1"/>
  <c r="O69" i="16" s="1"/>
  <c r="P69" i="16" s="1"/>
  <c r="Q69" i="16" s="1"/>
  <c r="R69" i="16" s="1"/>
  <c r="S69" i="16" s="1"/>
  <c r="T69" i="16" s="1"/>
  <c r="U69" i="16" s="1"/>
  <c r="V69" i="16" s="1"/>
  <c r="W69" i="16" s="1"/>
  <c r="X69" i="16" s="1"/>
  <c r="Y69" i="16" s="1"/>
  <c r="Z69" i="16" s="1"/>
  <c r="AA69" i="16" s="1"/>
  <c r="AB69" i="16" s="1"/>
  <c r="AC69" i="16" s="1"/>
  <c r="C66" i="16"/>
  <c r="U163" i="12"/>
  <c r="T163" i="12"/>
  <c r="N163" i="12"/>
  <c r="M163" i="12"/>
  <c r="Q170" i="12"/>
  <c r="P170" i="12"/>
  <c r="S170" i="12"/>
  <c r="T170" i="12"/>
  <c r="P160" i="12"/>
  <c r="O160" i="12"/>
  <c r="AC168" i="12"/>
  <c r="F173" i="12"/>
  <c r="E173" i="12"/>
  <c r="Q176" i="12"/>
  <c r="P176" i="12"/>
  <c r="Z176" i="12"/>
  <c r="AA176" i="12"/>
  <c r="D77" i="12"/>
  <c r="E67" i="12"/>
  <c r="C71" i="12"/>
  <c r="E121" i="12"/>
  <c r="E122" i="12" s="1"/>
  <c r="D125" i="12" s="1"/>
  <c r="D121" i="12"/>
  <c r="D122" i="12" s="1"/>
  <c r="C125" i="12" s="1"/>
  <c r="S121" i="12"/>
  <c r="S122" i="12" s="1"/>
  <c r="R125" i="12" s="1"/>
  <c r="G121" i="12"/>
  <c r="G122" i="12" s="1"/>
  <c r="F125" i="12" s="1"/>
  <c r="P121" i="12"/>
  <c r="P122" i="12" s="1"/>
  <c r="O125" i="12" s="1"/>
  <c r="R121" i="12"/>
  <c r="R122" i="12" s="1"/>
  <c r="Q125" i="12" s="1"/>
  <c r="K121" i="12"/>
  <c r="K122" i="12" s="1"/>
  <c r="J125" i="12" s="1"/>
  <c r="L122" i="12"/>
  <c r="K125" i="12" s="1"/>
  <c r="N121" i="12"/>
  <c r="N122" i="12" s="1"/>
  <c r="M125" i="12" s="1"/>
  <c r="J121" i="12"/>
  <c r="J122" i="12" s="1"/>
  <c r="I125" i="12" s="1"/>
  <c r="I121" i="12"/>
  <c r="I122" i="12" s="1"/>
  <c r="H125" i="12" s="1"/>
  <c r="AA78" i="12"/>
  <c r="AB68" i="12"/>
  <c r="D235" i="12"/>
  <c r="E236" i="12"/>
  <c r="B50" i="17"/>
  <c r="B51" i="17" s="1"/>
  <c r="D75" i="12"/>
  <c r="C78" i="12"/>
  <c r="B78" i="12"/>
  <c r="AB67" i="12"/>
  <c r="AA77" i="12"/>
  <c r="O121" i="12"/>
  <c r="O122" i="12" s="1"/>
  <c r="N125" i="12" s="1"/>
  <c r="M121" i="12"/>
  <c r="M122" i="12" s="1"/>
  <c r="L125" i="12" s="1"/>
  <c r="D78" i="12"/>
  <c r="B77" i="12"/>
  <c r="E75" i="12"/>
  <c r="B75" i="12"/>
  <c r="AA75" i="12"/>
  <c r="F121" i="12"/>
  <c r="F122" i="12" s="1"/>
  <c r="E125" i="12" s="1"/>
  <c r="W122" i="12"/>
  <c r="V125" i="12" s="1"/>
  <c r="X121" i="12"/>
  <c r="C145" i="16"/>
  <c r="C146" i="16" s="1"/>
  <c r="D169" i="2"/>
  <c r="E150" i="2"/>
  <c r="E146" i="2"/>
  <c r="C98" i="1"/>
  <c r="B160" i="2"/>
  <c r="B159" i="2" s="1"/>
  <c r="B171" i="2"/>
  <c r="B170" i="2" s="1"/>
  <c r="H170" i="2" s="1"/>
  <c r="B154" i="16"/>
  <c r="B152" i="16"/>
  <c r="B162" i="16" s="1"/>
  <c r="B164" i="16"/>
  <c r="C136" i="16"/>
  <c r="C138" i="16"/>
  <c r="C137" i="16"/>
  <c r="D135" i="16"/>
  <c r="B151" i="16"/>
  <c r="B159" i="16" s="1"/>
  <c r="B160" i="16" s="1"/>
  <c r="B167" i="16" s="1"/>
  <c r="B155" i="16"/>
  <c r="B165" i="16" s="1"/>
  <c r="C139" i="16"/>
  <c r="B153" i="16"/>
  <c r="B163" i="16" s="1"/>
  <c r="B82" i="16"/>
  <c r="C46" i="16"/>
  <c r="C48" i="16" s="1"/>
  <c r="B99" i="16"/>
  <c r="C39" i="16"/>
  <c r="B84" i="16"/>
  <c r="C36" i="16"/>
  <c r="C37" i="16"/>
  <c r="D41" i="16"/>
  <c r="C42" i="16"/>
  <c r="C43" i="16"/>
  <c r="C44" i="16"/>
  <c r="B92" i="16"/>
  <c r="B112" i="16"/>
  <c r="C38" i="16"/>
  <c r="B88" i="16"/>
  <c r="B97" i="16"/>
  <c r="B50" i="16"/>
  <c r="C35" i="16"/>
  <c r="B104" i="16"/>
  <c r="B113" i="16"/>
  <c r="F99" i="12" l="1"/>
  <c r="F100" i="12" s="1"/>
  <c r="G91" i="12"/>
  <c r="D35" i="12"/>
  <c r="E35" i="12" s="1"/>
  <c r="D69" i="12"/>
  <c r="D51" i="12"/>
  <c r="D56" i="12" s="1"/>
  <c r="C56" i="12"/>
  <c r="L150" i="17" s="1"/>
  <c r="L151" i="17" s="1"/>
  <c r="C55" i="16"/>
  <c r="D55" i="16" s="1"/>
  <c r="E55" i="16" s="1"/>
  <c r="F55" i="16" s="1"/>
  <c r="G55" i="16" s="1"/>
  <c r="H55" i="16" s="1"/>
  <c r="I55" i="16" s="1"/>
  <c r="J55" i="16" s="1"/>
  <c r="K55" i="16" s="1"/>
  <c r="L55" i="16" s="1"/>
  <c r="M55" i="16" s="1"/>
  <c r="N55" i="16" s="1"/>
  <c r="O55" i="16" s="1"/>
  <c r="P55" i="16" s="1"/>
  <c r="Q55" i="16" s="1"/>
  <c r="R55" i="16" s="1"/>
  <c r="S55" i="16" s="1"/>
  <c r="T55" i="16" s="1"/>
  <c r="U55" i="16" s="1"/>
  <c r="V55" i="16" s="1"/>
  <c r="W55" i="16" s="1"/>
  <c r="X55" i="16" s="1"/>
  <c r="Y55" i="16" s="1"/>
  <c r="Z55" i="16" s="1"/>
  <c r="AA55" i="16" s="1"/>
  <c r="AB55" i="16" s="1"/>
  <c r="AC55" i="16" s="1"/>
  <c r="B126" i="17"/>
  <c r="D45" i="12"/>
  <c r="AB24" i="12"/>
  <c r="X117" i="12"/>
  <c r="X118" i="12" s="1"/>
  <c r="F24" i="12"/>
  <c r="B76" i="17"/>
  <c r="B83" i="17" s="1"/>
  <c r="B84" i="17"/>
  <c r="B165" i="17" s="1"/>
  <c r="D54" i="16"/>
  <c r="E54" i="16" s="1"/>
  <c r="F54" i="16" s="1"/>
  <c r="G54" i="16" s="1"/>
  <c r="H54" i="16" s="1"/>
  <c r="I54" i="16" s="1"/>
  <c r="J54" i="16" s="1"/>
  <c r="K54" i="16" s="1"/>
  <c r="L54" i="16" s="1"/>
  <c r="M54" i="16" s="1"/>
  <c r="N54" i="16" s="1"/>
  <c r="O54" i="16" s="1"/>
  <c r="P54" i="16" s="1"/>
  <c r="Q54" i="16" s="1"/>
  <c r="R54" i="16" s="1"/>
  <c r="S54" i="16" s="1"/>
  <c r="T54" i="16" s="1"/>
  <c r="U54" i="16" s="1"/>
  <c r="V54" i="16" s="1"/>
  <c r="W54" i="16" s="1"/>
  <c r="X54" i="16" s="1"/>
  <c r="Y54" i="16" s="1"/>
  <c r="Z54" i="16" s="1"/>
  <c r="AA54" i="16" s="1"/>
  <c r="AB54" i="16" s="1"/>
  <c r="AC54" i="16" s="1"/>
  <c r="C44" i="12"/>
  <c r="E224" i="12"/>
  <c r="U24" i="12"/>
  <c r="P15" i="12"/>
  <c r="O24" i="12"/>
  <c r="S24" i="12"/>
  <c r="B154" i="17"/>
  <c r="B156" i="17" s="1"/>
  <c r="D33" i="12"/>
  <c r="C37" i="12"/>
  <c r="I15" i="12"/>
  <c r="X15" i="12"/>
  <c r="F35" i="12"/>
  <c r="G35" i="12" s="1"/>
  <c r="E45" i="12"/>
  <c r="D143" i="16"/>
  <c r="E143" i="16" s="1"/>
  <c r="F143" i="16" s="1"/>
  <c r="G143" i="16" s="1"/>
  <c r="H143" i="16" s="1"/>
  <c r="I143" i="16" s="1"/>
  <c r="J143" i="16" s="1"/>
  <c r="K143" i="16" s="1"/>
  <c r="L143" i="16" s="1"/>
  <c r="M143" i="16" s="1"/>
  <c r="N143" i="16" s="1"/>
  <c r="O143" i="16" s="1"/>
  <c r="P143" i="16" s="1"/>
  <c r="Q143" i="16" s="1"/>
  <c r="R143" i="16" s="1"/>
  <c r="S143" i="16" s="1"/>
  <c r="T143" i="16" s="1"/>
  <c r="U143" i="16" s="1"/>
  <c r="V143" i="16" s="1"/>
  <c r="W143" i="16" s="1"/>
  <c r="X143" i="16" s="1"/>
  <c r="Y143" i="16" s="1"/>
  <c r="Z143" i="16" s="1"/>
  <c r="AA143" i="16" s="1"/>
  <c r="AB143" i="16" s="1"/>
  <c r="AC143" i="16" s="1"/>
  <c r="I24" i="12"/>
  <c r="Q15" i="12"/>
  <c r="K24" i="12"/>
  <c r="AC15" i="12"/>
  <c r="L24" i="12"/>
  <c r="G24" i="12"/>
  <c r="O117" i="12"/>
  <c r="O118" i="12" s="1"/>
  <c r="Y15" i="12"/>
  <c r="T15" i="12"/>
  <c r="S15" i="12"/>
  <c r="O15" i="12"/>
  <c r="C49" i="16"/>
  <c r="C71" i="16"/>
  <c r="D71" i="16" s="1"/>
  <c r="E71" i="16" s="1"/>
  <c r="F71" i="16" s="1"/>
  <c r="G71" i="16" s="1"/>
  <c r="H71" i="16" s="1"/>
  <c r="I71" i="16" s="1"/>
  <c r="J71" i="16" s="1"/>
  <c r="K71" i="16" s="1"/>
  <c r="L71" i="16" s="1"/>
  <c r="M71" i="16" s="1"/>
  <c r="N71" i="16" s="1"/>
  <c r="O71" i="16" s="1"/>
  <c r="P71" i="16" s="1"/>
  <c r="Q71" i="16" s="1"/>
  <c r="R71" i="16" s="1"/>
  <c r="S71" i="16" s="1"/>
  <c r="T71" i="16" s="1"/>
  <c r="U71" i="16" s="1"/>
  <c r="V71" i="16" s="1"/>
  <c r="W71" i="16" s="1"/>
  <c r="X71" i="16" s="1"/>
  <c r="Y71" i="16" s="1"/>
  <c r="Z71" i="16" s="1"/>
  <c r="AA71" i="16" s="1"/>
  <c r="AB71" i="16" s="1"/>
  <c r="AC71" i="16" s="1"/>
  <c r="C47" i="16"/>
  <c r="H24" i="12"/>
  <c r="T24" i="12"/>
  <c r="J15" i="12"/>
  <c r="M24" i="12"/>
  <c r="H160" i="12"/>
  <c r="C151" i="16"/>
  <c r="C83" i="2" s="1"/>
  <c r="C84" i="2" s="1"/>
  <c r="P24" i="12"/>
  <c r="Y24" i="12"/>
  <c r="X24" i="12"/>
  <c r="E24" i="12"/>
  <c r="B109" i="17"/>
  <c r="B115" i="17" s="1"/>
  <c r="F15" i="12"/>
  <c r="C87" i="2" s="1"/>
  <c r="Q24" i="12"/>
  <c r="N15" i="12"/>
  <c r="AB75" i="12"/>
  <c r="E15" i="12"/>
  <c r="C80" i="2" s="1"/>
  <c r="AD15" i="12"/>
  <c r="AE65" i="12"/>
  <c r="AF65" i="12" s="1"/>
  <c r="F64" i="16"/>
  <c r="G64" i="16" s="1"/>
  <c r="H64" i="16" s="1"/>
  <c r="I64" i="16" s="1"/>
  <c r="J64" i="16" s="1"/>
  <c r="K64" i="16" s="1"/>
  <c r="L64" i="16" s="1"/>
  <c r="M64" i="16" s="1"/>
  <c r="N64" i="16" s="1"/>
  <c r="O64" i="16" s="1"/>
  <c r="P64" i="16" s="1"/>
  <c r="Q64" i="16" s="1"/>
  <c r="R64" i="16" s="1"/>
  <c r="S64" i="16" s="1"/>
  <c r="T64" i="16" s="1"/>
  <c r="U64" i="16" s="1"/>
  <c r="V64" i="16" s="1"/>
  <c r="W64" i="16" s="1"/>
  <c r="X64" i="16" s="1"/>
  <c r="Y64" i="16" s="1"/>
  <c r="Z64" i="16" s="1"/>
  <c r="AA64" i="16" s="1"/>
  <c r="AB64" i="16" s="1"/>
  <c r="AC64" i="16" s="1"/>
  <c r="E66" i="12"/>
  <c r="B128" i="17"/>
  <c r="D24" i="12"/>
  <c r="AC23" i="12"/>
  <c r="AC24" i="12" s="1"/>
  <c r="AE15" i="12"/>
  <c r="C155" i="16"/>
  <c r="C165" i="16" s="1"/>
  <c r="C126" i="2" s="1"/>
  <c r="D138" i="16"/>
  <c r="D164" i="16" s="1"/>
  <c r="AC75" i="12"/>
  <c r="AC66" i="12"/>
  <c r="AC76" i="12" s="1"/>
  <c r="N24" i="12"/>
  <c r="D15" i="12"/>
  <c r="Z15" i="12"/>
  <c r="AA15" i="12"/>
  <c r="Y117" i="12"/>
  <c r="Y118" i="12" s="1"/>
  <c r="U15" i="12"/>
  <c r="V15" i="12"/>
  <c r="L117" i="12"/>
  <c r="L118" i="12" s="1"/>
  <c r="AC117" i="12"/>
  <c r="AC118" i="12" s="1"/>
  <c r="K15" i="12"/>
  <c r="H117" i="12"/>
  <c r="H118" i="12" s="1"/>
  <c r="I118" i="12"/>
  <c r="AF23" i="12"/>
  <c r="AG22" i="12"/>
  <c r="P117" i="12"/>
  <c r="P118" i="12" s="1"/>
  <c r="AB117" i="12"/>
  <c r="AB118" i="12" s="1"/>
  <c r="U117" i="12"/>
  <c r="U118" i="12" s="1"/>
  <c r="F78" i="12"/>
  <c r="G68" i="12"/>
  <c r="Z117" i="12"/>
  <c r="Z118" i="12" s="1"/>
  <c r="AE117" i="12"/>
  <c r="AE118" i="12" s="1"/>
  <c r="AA117" i="12"/>
  <c r="AA118" i="12" s="1"/>
  <c r="D145" i="16"/>
  <c r="D146" i="16" s="1"/>
  <c r="I160" i="12"/>
  <c r="J159" i="12"/>
  <c r="AG117" i="12"/>
  <c r="AG118" i="12" s="1"/>
  <c r="Q117" i="12"/>
  <c r="Q118" i="12" s="1"/>
  <c r="N118" i="12"/>
  <c r="W117" i="12"/>
  <c r="W118" i="12" s="1"/>
  <c r="X54" i="12"/>
  <c r="Y54" i="12" s="1"/>
  <c r="Z54" i="12" s="1"/>
  <c r="R24" i="12"/>
  <c r="E34" i="12"/>
  <c r="D44" i="12"/>
  <c r="AF117" i="12"/>
  <c r="AF118" i="12" s="1"/>
  <c r="M117" i="12"/>
  <c r="M118" i="12" s="1"/>
  <c r="V117" i="12"/>
  <c r="V118" i="12" s="1"/>
  <c r="G15" i="12"/>
  <c r="AI18" i="12"/>
  <c r="T117" i="12"/>
  <c r="T118" i="12" s="1"/>
  <c r="S117" i="12"/>
  <c r="S118" i="12" s="1"/>
  <c r="R117" i="12"/>
  <c r="R118" i="12" s="1"/>
  <c r="AE23" i="12"/>
  <c r="AD23" i="12"/>
  <c r="D66" i="16"/>
  <c r="C68" i="16"/>
  <c r="X122" i="12"/>
  <c r="W125" i="12" s="1"/>
  <c r="Y121" i="12"/>
  <c r="B60" i="17"/>
  <c r="B164" i="17" s="1"/>
  <c r="B52" i="17"/>
  <c r="C144" i="16"/>
  <c r="D144" i="16" s="1"/>
  <c r="E144" i="16" s="1"/>
  <c r="F144" i="16" s="1"/>
  <c r="G144" i="16" s="1"/>
  <c r="H144" i="16" s="1"/>
  <c r="I144" i="16" s="1"/>
  <c r="J144" i="16" s="1"/>
  <c r="K144" i="16" s="1"/>
  <c r="L144" i="16" s="1"/>
  <c r="M144" i="16" s="1"/>
  <c r="N144" i="16" s="1"/>
  <c r="O144" i="16" s="1"/>
  <c r="P144" i="16" s="1"/>
  <c r="Q144" i="16" s="1"/>
  <c r="R144" i="16" s="1"/>
  <c r="S144" i="16" s="1"/>
  <c r="T144" i="16" s="1"/>
  <c r="U144" i="16" s="1"/>
  <c r="V144" i="16" s="1"/>
  <c r="W144" i="16" s="1"/>
  <c r="X144" i="16" s="1"/>
  <c r="Y144" i="16" s="1"/>
  <c r="Z144" i="16" s="1"/>
  <c r="AA144" i="16" s="1"/>
  <c r="AB144" i="16" s="1"/>
  <c r="AC144" i="16" s="1"/>
  <c r="C72" i="16"/>
  <c r="C74" i="16"/>
  <c r="D74" i="16" s="1"/>
  <c r="E74" i="16" s="1"/>
  <c r="F74" i="16" s="1"/>
  <c r="G74" i="16" s="1"/>
  <c r="H74" i="16" s="1"/>
  <c r="I74" i="16" s="1"/>
  <c r="J74" i="16" s="1"/>
  <c r="K74" i="16" s="1"/>
  <c r="L74" i="16" s="1"/>
  <c r="M74" i="16" s="1"/>
  <c r="N74" i="16" s="1"/>
  <c r="O74" i="16" s="1"/>
  <c r="P74" i="16" s="1"/>
  <c r="Q74" i="16" s="1"/>
  <c r="R74" i="16" s="1"/>
  <c r="S74" i="16" s="1"/>
  <c r="T74" i="16" s="1"/>
  <c r="U74" i="16" s="1"/>
  <c r="V74" i="16" s="1"/>
  <c r="W74" i="16" s="1"/>
  <c r="X74" i="16" s="1"/>
  <c r="Y74" i="16" s="1"/>
  <c r="Z74" i="16" s="1"/>
  <c r="AA74" i="16" s="1"/>
  <c r="AB74" i="16" s="1"/>
  <c r="AC74" i="16" s="1"/>
  <c r="J24" i="12"/>
  <c r="F224" i="12"/>
  <c r="G225" i="12"/>
  <c r="F236" i="12"/>
  <c r="E235" i="12"/>
  <c r="D57" i="16"/>
  <c r="C60" i="16"/>
  <c r="H65" i="12"/>
  <c r="G75" i="12"/>
  <c r="B101" i="16"/>
  <c r="B108" i="16" s="1"/>
  <c r="B109" i="16" s="1"/>
  <c r="B126" i="16" s="1"/>
  <c r="F67" i="12"/>
  <c r="E77" i="12"/>
  <c r="D56" i="16"/>
  <c r="C59" i="16"/>
  <c r="B47" i="17"/>
  <c r="E51" i="12"/>
  <c r="E56" i="12" s="1"/>
  <c r="B103" i="16"/>
  <c r="AB78" i="12"/>
  <c r="AC68" i="12"/>
  <c r="B57" i="17"/>
  <c r="B61" i="17" s="1"/>
  <c r="B166" i="17"/>
  <c r="AC67" i="12"/>
  <c r="AB77" i="12"/>
  <c r="D147" i="16"/>
  <c r="E147" i="16" s="1"/>
  <c r="F147" i="16" s="1"/>
  <c r="G147" i="16" s="1"/>
  <c r="H147" i="16" s="1"/>
  <c r="I147" i="16" s="1"/>
  <c r="J147" i="16" s="1"/>
  <c r="K147" i="16" s="1"/>
  <c r="L147" i="16" s="1"/>
  <c r="M147" i="16" s="1"/>
  <c r="N147" i="16" s="1"/>
  <c r="O147" i="16" s="1"/>
  <c r="P147" i="16" s="1"/>
  <c r="Q147" i="16" s="1"/>
  <c r="R147" i="16" s="1"/>
  <c r="S147" i="16" s="1"/>
  <c r="T147" i="16" s="1"/>
  <c r="U147" i="16" s="1"/>
  <c r="V147" i="16" s="1"/>
  <c r="W147" i="16" s="1"/>
  <c r="X147" i="16" s="1"/>
  <c r="Y147" i="16" s="1"/>
  <c r="Z147" i="16" s="1"/>
  <c r="AA147" i="16" s="1"/>
  <c r="AB147" i="16" s="1"/>
  <c r="AC147" i="16" s="1"/>
  <c r="D58" i="16"/>
  <c r="C61" i="16"/>
  <c r="F45" i="12"/>
  <c r="E65" i="16"/>
  <c r="D67" i="16"/>
  <c r="D46" i="16"/>
  <c r="V24" i="12"/>
  <c r="W24" i="12"/>
  <c r="C46" i="12"/>
  <c r="D36" i="12"/>
  <c r="E169" i="2"/>
  <c r="F150" i="2"/>
  <c r="F146" i="2"/>
  <c r="C170" i="2"/>
  <c r="D170" i="2"/>
  <c r="G170" i="2"/>
  <c r="E170" i="2"/>
  <c r="F170" i="2"/>
  <c r="D136" i="16"/>
  <c r="B168" i="16"/>
  <c r="B166" i="16"/>
  <c r="E135" i="16"/>
  <c r="F135" i="16" s="1"/>
  <c r="G135" i="16" s="1"/>
  <c r="H135" i="16" s="1"/>
  <c r="I135" i="16" s="1"/>
  <c r="J135" i="16" s="1"/>
  <c r="K135" i="16" s="1"/>
  <c r="L135" i="16" s="1"/>
  <c r="M135" i="16" s="1"/>
  <c r="N135" i="16" s="1"/>
  <c r="O135" i="16" s="1"/>
  <c r="P135" i="16" s="1"/>
  <c r="Q135" i="16" s="1"/>
  <c r="R135" i="16" s="1"/>
  <c r="S135" i="16" s="1"/>
  <c r="T135" i="16" s="1"/>
  <c r="U135" i="16" s="1"/>
  <c r="V135" i="16" s="1"/>
  <c r="W135" i="16" s="1"/>
  <c r="X135" i="16" s="1"/>
  <c r="Y135" i="16" s="1"/>
  <c r="Z135" i="16" s="1"/>
  <c r="AA135" i="16" s="1"/>
  <c r="AB135" i="16" s="1"/>
  <c r="AC135" i="16" s="1"/>
  <c r="D139" i="16"/>
  <c r="D137" i="16"/>
  <c r="C153" i="16"/>
  <c r="C154" i="16"/>
  <c r="C164" i="16"/>
  <c r="C29" i="16"/>
  <c r="C31" i="16"/>
  <c r="C32" i="16"/>
  <c r="C30" i="16"/>
  <c r="C26" i="16"/>
  <c r="C27" i="16"/>
  <c r="C28" i="16"/>
  <c r="D42" i="16"/>
  <c r="E41" i="16"/>
  <c r="D43" i="16"/>
  <c r="D44" i="16"/>
  <c r="B102" i="16"/>
  <c r="B115" i="16"/>
  <c r="B127" i="16" s="1"/>
  <c r="D35" i="16"/>
  <c r="E35" i="16" s="1"/>
  <c r="D37" i="16"/>
  <c r="D39" i="16"/>
  <c r="D38" i="16"/>
  <c r="E38" i="16" s="1"/>
  <c r="D36" i="16"/>
  <c r="E36" i="16" s="1"/>
  <c r="F150" i="17" l="1"/>
  <c r="F151" i="17" s="1"/>
  <c r="M150" i="17"/>
  <c r="M151" i="17" s="1"/>
  <c r="G99" i="12"/>
  <c r="G100" i="12" s="1"/>
  <c r="H91" i="12"/>
  <c r="E69" i="12"/>
  <c r="D79" i="12"/>
  <c r="D80" i="12" s="1"/>
  <c r="D70" i="12"/>
  <c r="D71" i="12" s="1"/>
  <c r="C81" i="2"/>
  <c r="C134" i="2"/>
  <c r="C38" i="12"/>
  <c r="C39" i="12" s="1"/>
  <c r="C47" i="12"/>
  <c r="C48" i="12" s="1"/>
  <c r="K150" i="17"/>
  <c r="K151" i="17" s="1"/>
  <c r="AB150" i="17"/>
  <c r="AB151" i="17" s="1"/>
  <c r="U150" i="17"/>
  <c r="U151" i="17" s="1"/>
  <c r="D151" i="16"/>
  <c r="D83" i="2" s="1"/>
  <c r="D84" i="2" s="1"/>
  <c r="Z150" i="17"/>
  <c r="Z151" i="17" s="1"/>
  <c r="AC150" i="17"/>
  <c r="AC151" i="17" s="1"/>
  <c r="D49" i="16"/>
  <c r="Q150" i="17"/>
  <c r="Q151" i="17" s="1"/>
  <c r="V150" i="17"/>
  <c r="V151" i="17" s="1"/>
  <c r="S150" i="17"/>
  <c r="S151" i="17" s="1"/>
  <c r="C150" i="17"/>
  <c r="C151" i="17" s="1"/>
  <c r="C152" i="17" s="1"/>
  <c r="R150" i="17"/>
  <c r="R151" i="17" s="1"/>
  <c r="T150" i="17"/>
  <c r="T151" i="17" s="1"/>
  <c r="H150" i="17"/>
  <c r="H151" i="17" s="1"/>
  <c r="I150" i="17"/>
  <c r="I151" i="17" s="1"/>
  <c r="B163" i="17"/>
  <c r="O150" i="17"/>
  <c r="O151" i="17" s="1"/>
  <c r="AA150" i="17"/>
  <c r="AA151" i="17" s="1"/>
  <c r="D80" i="2"/>
  <c r="E80" i="2" s="1"/>
  <c r="F80" i="2" s="1"/>
  <c r="G80" i="2" s="1"/>
  <c r="H80" i="2" s="1"/>
  <c r="I80" i="2" s="1"/>
  <c r="J80" i="2" s="1"/>
  <c r="K80" i="2" s="1"/>
  <c r="L80" i="2" s="1"/>
  <c r="M80" i="2" s="1"/>
  <c r="N80" i="2" s="1"/>
  <c r="O80" i="2" s="1"/>
  <c r="P80" i="2" s="1"/>
  <c r="Q80" i="2" s="1"/>
  <c r="R80" i="2" s="1"/>
  <c r="S80" i="2" s="1"/>
  <c r="T80" i="2" s="1"/>
  <c r="U80" i="2" s="1"/>
  <c r="V80" i="2" s="1"/>
  <c r="W80" i="2" s="1"/>
  <c r="X80" i="2" s="1"/>
  <c r="Y80" i="2" s="1"/>
  <c r="Z80" i="2" s="1"/>
  <c r="AA80" i="2" s="1"/>
  <c r="AB80" i="2" s="1"/>
  <c r="AC80" i="2" s="1"/>
  <c r="C138" i="2"/>
  <c r="D138" i="2" s="1"/>
  <c r="C133" i="2"/>
  <c r="D133" i="2" s="1"/>
  <c r="E133" i="2" s="1"/>
  <c r="F133" i="2" s="1"/>
  <c r="G133" i="2" s="1"/>
  <c r="C141" i="2"/>
  <c r="D141" i="2" s="1"/>
  <c r="E141" i="2" s="1"/>
  <c r="F141" i="2" s="1"/>
  <c r="G141" i="2" s="1"/>
  <c r="C23" i="16"/>
  <c r="C95" i="16" s="1"/>
  <c r="C121" i="16" s="1"/>
  <c r="C140" i="2"/>
  <c r="D140" i="2" s="1"/>
  <c r="E140" i="2" s="1"/>
  <c r="F140" i="2" s="1"/>
  <c r="G140" i="2" s="1"/>
  <c r="H140" i="2" s="1"/>
  <c r="I140" i="2" s="1"/>
  <c r="J140" i="2" s="1"/>
  <c r="K140" i="2" s="1"/>
  <c r="L140" i="2" s="1"/>
  <c r="M140" i="2" s="1"/>
  <c r="N140" i="2" s="1"/>
  <c r="O140" i="2" s="1"/>
  <c r="P140" i="2" s="1"/>
  <c r="Q140" i="2" s="1"/>
  <c r="R140" i="2" s="1"/>
  <c r="S140" i="2" s="1"/>
  <c r="T140" i="2" s="1"/>
  <c r="U140" i="2" s="1"/>
  <c r="V140" i="2" s="1"/>
  <c r="W140" i="2" s="1"/>
  <c r="X140" i="2" s="1"/>
  <c r="Y140" i="2" s="1"/>
  <c r="Z140" i="2" s="1"/>
  <c r="AA140" i="2" s="1"/>
  <c r="AB140" i="2" s="1"/>
  <c r="AC140" i="2" s="1"/>
  <c r="C90" i="2"/>
  <c r="D90" i="2" s="1"/>
  <c r="E90" i="2" s="1"/>
  <c r="F90" i="2" s="1"/>
  <c r="G90" i="2" s="1"/>
  <c r="H90" i="2" s="1"/>
  <c r="I90" i="2" s="1"/>
  <c r="J90" i="2" s="1"/>
  <c r="K90" i="2" s="1"/>
  <c r="L90" i="2" s="1"/>
  <c r="M90" i="2" s="1"/>
  <c r="N90" i="2" s="1"/>
  <c r="O90" i="2" s="1"/>
  <c r="P90" i="2" s="1"/>
  <c r="Q90" i="2" s="1"/>
  <c r="R90" i="2" s="1"/>
  <c r="S90" i="2" s="1"/>
  <c r="T90" i="2" s="1"/>
  <c r="U90" i="2" s="1"/>
  <c r="V90" i="2" s="1"/>
  <c r="W90" i="2" s="1"/>
  <c r="X90" i="2" s="1"/>
  <c r="Y90" i="2" s="1"/>
  <c r="Z90" i="2" s="1"/>
  <c r="AA90" i="2" s="1"/>
  <c r="AB90" i="2" s="1"/>
  <c r="AC90" i="2" s="1"/>
  <c r="C89" i="2"/>
  <c r="D89" i="2" s="1"/>
  <c r="E89" i="2" s="1"/>
  <c r="F89" i="2" s="1"/>
  <c r="G89" i="2" s="1"/>
  <c r="H89" i="2" s="1"/>
  <c r="I89" i="2" s="1"/>
  <c r="J89" i="2" s="1"/>
  <c r="K89" i="2" s="1"/>
  <c r="L89" i="2" s="1"/>
  <c r="M89" i="2" s="1"/>
  <c r="N89" i="2" s="1"/>
  <c r="O89" i="2" s="1"/>
  <c r="P89" i="2" s="1"/>
  <c r="Q89" i="2" s="1"/>
  <c r="R89" i="2" s="1"/>
  <c r="S89" i="2" s="1"/>
  <c r="T89" i="2" s="1"/>
  <c r="U89" i="2" s="1"/>
  <c r="V89" i="2" s="1"/>
  <c r="W89" i="2" s="1"/>
  <c r="X89" i="2" s="1"/>
  <c r="Y89" i="2" s="1"/>
  <c r="Z89" i="2" s="1"/>
  <c r="AA89" i="2" s="1"/>
  <c r="AB89" i="2" s="1"/>
  <c r="AC89" i="2" s="1"/>
  <c r="D37" i="12"/>
  <c r="E33" i="12"/>
  <c r="D43" i="12"/>
  <c r="E150" i="17"/>
  <c r="E151" i="17" s="1"/>
  <c r="E152" i="17" s="1"/>
  <c r="D150" i="17"/>
  <c r="D151" i="17" s="1"/>
  <c r="D152" i="17" s="1"/>
  <c r="W150" i="17"/>
  <c r="W151" i="17" s="1"/>
  <c r="D27" i="16"/>
  <c r="E27" i="16" s="1"/>
  <c r="D152" i="16"/>
  <c r="D162" i="16" s="1"/>
  <c r="B161" i="17"/>
  <c r="D31" i="16"/>
  <c r="E31" i="16" s="1"/>
  <c r="F31" i="16" s="1"/>
  <c r="G31" i="16" s="1"/>
  <c r="C57" i="12"/>
  <c r="C159" i="16"/>
  <c r="C128" i="2" s="1"/>
  <c r="F152" i="17"/>
  <c r="B125" i="16"/>
  <c r="B128" i="16" s="1"/>
  <c r="AD24" i="12"/>
  <c r="H133" i="2"/>
  <c r="I133" i="2" s="1"/>
  <c r="J133" i="2" s="1"/>
  <c r="K133" i="2" s="1"/>
  <c r="L133" i="2" s="1"/>
  <c r="M133" i="2" s="1"/>
  <c r="N133" i="2" s="1"/>
  <c r="O133" i="2" s="1"/>
  <c r="P133" i="2" s="1"/>
  <c r="Q133" i="2" s="1"/>
  <c r="R133" i="2" s="1"/>
  <c r="S133" i="2" s="1"/>
  <c r="T133" i="2" s="1"/>
  <c r="U133" i="2" s="1"/>
  <c r="V133" i="2" s="1"/>
  <c r="W133" i="2" s="1"/>
  <c r="X133" i="2" s="1"/>
  <c r="Y133" i="2" s="1"/>
  <c r="Z133" i="2" s="1"/>
  <c r="AA133" i="2" s="1"/>
  <c r="AB133" i="2" s="1"/>
  <c r="AC133" i="2" s="1"/>
  <c r="F66" i="12"/>
  <c r="E43" i="16"/>
  <c r="D154" i="16"/>
  <c r="E76" i="12"/>
  <c r="E42" i="16"/>
  <c r="Y150" i="17"/>
  <c r="Y151" i="17" s="1"/>
  <c r="X150" i="17"/>
  <c r="X151" i="17" s="1"/>
  <c r="P150" i="17"/>
  <c r="P151" i="17" s="1"/>
  <c r="J150" i="17"/>
  <c r="J151" i="17" s="1"/>
  <c r="AD66" i="12"/>
  <c r="AE66" i="12" s="1"/>
  <c r="E145" i="16"/>
  <c r="F145" i="16" s="1"/>
  <c r="AA54" i="12"/>
  <c r="D48" i="16"/>
  <c r="B169" i="16"/>
  <c r="G150" i="17"/>
  <c r="G151" i="17" s="1"/>
  <c r="N150" i="17"/>
  <c r="N151" i="17" s="1"/>
  <c r="F41" i="16"/>
  <c r="G41" i="16" s="1"/>
  <c r="AF24" i="12"/>
  <c r="AE24" i="12"/>
  <c r="AH22" i="12"/>
  <c r="AG23" i="12"/>
  <c r="B59" i="17"/>
  <c r="B162" i="17" s="1"/>
  <c r="E44" i="16"/>
  <c r="H68" i="12"/>
  <c r="G78" i="12"/>
  <c r="D87" i="2"/>
  <c r="E87" i="2" s="1"/>
  <c r="F87" i="2" s="1"/>
  <c r="G87" i="2" s="1"/>
  <c r="H87" i="2" s="1"/>
  <c r="I87" i="2" s="1"/>
  <c r="J87" i="2" s="1"/>
  <c r="K87" i="2" s="1"/>
  <c r="L87" i="2" s="1"/>
  <c r="M87" i="2" s="1"/>
  <c r="N87" i="2" s="1"/>
  <c r="O87" i="2" s="1"/>
  <c r="P87" i="2" s="1"/>
  <c r="Q87" i="2" s="1"/>
  <c r="R87" i="2" s="1"/>
  <c r="S87" i="2" s="1"/>
  <c r="T87" i="2" s="1"/>
  <c r="U87" i="2" s="1"/>
  <c r="V87" i="2" s="1"/>
  <c r="W87" i="2" s="1"/>
  <c r="X87" i="2" s="1"/>
  <c r="Y87" i="2" s="1"/>
  <c r="Z87" i="2" s="1"/>
  <c r="AA87" i="2" s="1"/>
  <c r="AB87" i="2" s="1"/>
  <c r="AC87" i="2" s="1"/>
  <c r="E44" i="12"/>
  <c r="F34" i="12"/>
  <c r="J160" i="12"/>
  <c r="K160" i="12"/>
  <c r="D153" i="16"/>
  <c r="D82" i="2" s="1"/>
  <c r="D134" i="2"/>
  <c r="E134" i="2" s="1"/>
  <c r="F134" i="2" s="1"/>
  <c r="G134" i="2" s="1"/>
  <c r="H134" i="2" s="1"/>
  <c r="I134" i="2" s="1"/>
  <c r="J134" i="2" s="1"/>
  <c r="K134" i="2" s="1"/>
  <c r="L134" i="2" s="1"/>
  <c r="M134" i="2" s="1"/>
  <c r="N134" i="2" s="1"/>
  <c r="O134" i="2" s="1"/>
  <c r="P134" i="2" s="1"/>
  <c r="Q134" i="2" s="1"/>
  <c r="R134" i="2" s="1"/>
  <c r="S134" i="2" s="1"/>
  <c r="T134" i="2" s="1"/>
  <c r="U134" i="2" s="1"/>
  <c r="V134" i="2" s="1"/>
  <c r="W134" i="2" s="1"/>
  <c r="X134" i="2" s="1"/>
  <c r="Y134" i="2" s="1"/>
  <c r="Z134" i="2" s="1"/>
  <c r="AA134" i="2" s="1"/>
  <c r="AB134" i="2" s="1"/>
  <c r="AC134" i="2" s="1"/>
  <c r="AJ18" i="12"/>
  <c r="E36" i="12"/>
  <c r="D46" i="12"/>
  <c r="G236" i="12"/>
  <c r="F235" i="12"/>
  <c r="Z121" i="12"/>
  <c r="Y122" i="12"/>
  <c r="X125" i="12" s="1"/>
  <c r="E67" i="16"/>
  <c r="F65" i="16"/>
  <c r="E151" i="16"/>
  <c r="E159" i="16" s="1"/>
  <c r="H35" i="12"/>
  <c r="G45" i="12"/>
  <c r="AC77" i="12"/>
  <c r="AD67" i="12"/>
  <c r="AG65" i="12"/>
  <c r="E57" i="16"/>
  <c r="D60" i="16"/>
  <c r="D72" i="16"/>
  <c r="C73" i="16"/>
  <c r="I65" i="12"/>
  <c r="H75" i="12"/>
  <c r="D26" i="16"/>
  <c r="E26" i="16" s="1"/>
  <c r="F26" i="16" s="1"/>
  <c r="D47" i="16"/>
  <c r="E46" i="16"/>
  <c r="E58" i="16"/>
  <c r="D61" i="16"/>
  <c r="E56" i="16"/>
  <c r="D59" i="16"/>
  <c r="C152" i="16"/>
  <c r="F51" i="12"/>
  <c r="F56" i="12" s="1"/>
  <c r="H225" i="12"/>
  <c r="G224" i="12"/>
  <c r="E66" i="16"/>
  <c r="D68" i="16"/>
  <c r="AC78" i="12"/>
  <c r="AD68" i="12"/>
  <c r="E137" i="16"/>
  <c r="F137" i="16" s="1"/>
  <c r="D57" i="12"/>
  <c r="C64" i="17"/>
  <c r="C114" i="17"/>
  <c r="F77" i="12"/>
  <c r="G67" i="12"/>
  <c r="D32" i="16"/>
  <c r="E32" i="16" s="1"/>
  <c r="F32" i="16" s="1"/>
  <c r="F169" i="2"/>
  <c r="G150" i="2"/>
  <c r="G146" i="2"/>
  <c r="E138" i="16"/>
  <c r="F138" i="16" s="1"/>
  <c r="E136" i="16"/>
  <c r="F136" i="16" s="1"/>
  <c r="C163" i="16"/>
  <c r="C82" i="2"/>
  <c r="D155" i="16"/>
  <c r="E139" i="16"/>
  <c r="E155" i="16" s="1"/>
  <c r="E165" i="16" s="1"/>
  <c r="E126" i="2" s="1"/>
  <c r="D29" i="16"/>
  <c r="D28" i="16"/>
  <c r="E28" i="16" s="1"/>
  <c r="F28" i="16" s="1"/>
  <c r="D30" i="16"/>
  <c r="E30" i="16" s="1"/>
  <c r="F30" i="16" s="1"/>
  <c r="C50" i="16"/>
  <c r="F36" i="16"/>
  <c r="F151" i="16"/>
  <c r="E39" i="16"/>
  <c r="E37" i="16"/>
  <c r="D79" i="2"/>
  <c r="F35" i="16"/>
  <c r="H99" i="12" l="1"/>
  <c r="H100" i="12" s="1"/>
  <c r="I91" i="12"/>
  <c r="F69" i="12"/>
  <c r="E79" i="12"/>
  <c r="E80" i="12" s="1"/>
  <c r="E70" i="12"/>
  <c r="E71" i="12" s="1"/>
  <c r="D159" i="16"/>
  <c r="D38" i="12"/>
  <c r="D39" i="12" s="1"/>
  <c r="D47" i="12"/>
  <c r="D48" i="12" s="1"/>
  <c r="C25" i="17" s="1"/>
  <c r="C145" i="17" s="1"/>
  <c r="C166" i="16"/>
  <c r="G152" i="17"/>
  <c r="C160" i="16"/>
  <c r="C167" i="16" s="1"/>
  <c r="E146" i="16"/>
  <c r="E154" i="16" s="1"/>
  <c r="E49" i="16"/>
  <c r="F76" i="12"/>
  <c r="G66" i="12"/>
  <c r="G76" i="12" s="1"/>
  <c r="C82" i="16"/>
  <c r="C92" i="16"/>
  <c r="C84" i="16"/>
  <c r="C93" i="16"/>
  <c r="C119" i="16" s="1"/>
  <c r="C75" i="2"/>
  <c r="C116" i="16"/>
  <c r="C99" i="16"/>
  <c r="C87" i="16"/>
  <c r="C88" i="16"/>
  <c r="C115" i="16" s="1"/>
  <c r="C124" i="16"/>
  <c r="C98" i="16"/>
  <c r="C123" i="16" s="1"/>
  <c r="C83" i="16"/>
  <c r="C111" i="16" s="1"/>
  <c r="C97" i="16"/>
  <c r="C70" i="2"/>
  <c r="D23" i="16"/>
  <c r="D82" i="16" s="1"/>
  <c r="C90" i="16"/>
  <c r="C117" i="16" s="1"/>
  <c r="C85" i="16"/>
  <c r="C113" i="16" s="1"/>
  <c r="C72" i="2"/>
  <c r="C89" i="16"/>
  <c r="C68" i="2"/>
  <c r="F33" i="12"/>
  <c r="E37" i="12"/>
  <c r="E43" i="12"/>
  <c r="C94" i="16"/>
  <c r="C112" i="16"/>
  <c r="C120" i="16"/>
  <c r="D163" i="16"/>
  <c r="D127" i="2" s="1"/>
  <c r="E47" i="16"/>
  <c r="F42" i="16"/>
  <c r="G42" i="16" s="1"/>
  <c r="AD76" i="12"/>
  <c r="B160" i="17"/>
  <c r="E153" i="16"/>
  <c r="E163" i="16" s="1"/>
  <c r="E152" i="16"/>
  <c r="E162" i="16" s="1"/>
  <c r="F43" i="16"/>
  <c r="G43" i="16" s="1"/>
  <c r="F44" i="16"/>
  <c r="G44" i="16" s="1"/>
  <c r="E81" i="2"/>
  <c r="E164" i="16"/>
  <c r="AG24" i="12"/>
  <c r="H78" i="12"/>
  <c r="I68" i="12"/>
  <c r="AI22" i="12"/>
  <c r="AH23" i="12"/>
  <c r="F44" i="12"/>
  <c r="G34" i="12"/>
  <c r="AB54" i="12"/>
  <c r="G145" i="16"/>
  <c r="F146" i="16"/>
  <c r="F154" i="16" s="1"/>
  <c r="E138" i="2"/>
  <c r="D73" i="16"/>
  <c r="E72" i="16"/>
  <c r="I225" i="12"/>
  <c r="H224" i="12"/>
  <c r="H152" i="17" s="1"/>
  <c r="D64" i="17"/>
  <c r="D65" i="17" s="1"/>
  <c r="D66" i="17" s="1"/>
  <c r="E57" i="12"/>
  <c r="D114" i="17"/>
  <c r="C162" i="16"/>
  <c r="C125" i="2" s="1"/>
  <c r="C79" i="2"/>
  <c r="E83" i="2"/>
  <c r="E84" i="2" s="1"/>
  <c r="AF66" i="12"/>
  <c r="F56" i="16"/>
  <c r="E59" i="16"/>
  <c r="AE67" i="12"/>
  <c r="AF67" i="12" s="1"/>
  <c r="AG67" i="12" s="1"/>
  <c r="AH67" i="12" s="1"/>
  <c r="AI67" i="12" s="1"/>
  <c r="AJ67" i="12" s="1"/>
  <c r="AD77" i="12"/>
  <c r="F36" i="12"/>
  <c r="E46" i="12"/>
  <c r="G51" i="12"/>
  <c r="G56" i="12" s="1"/>
  <c r="H67" i="12"/>
  <c r="G77" i="12"/>
  <c r="G65" i="16"/>
  <c r="F67" i="16"/>
  <c r="E48" i="16"/>
  <c r="F57" i="16"/>
  <c r="E60" i="16"/>
  <c r="AH65" i="12"/>
  <c r="F46" i="16"/>
  <c r="C118" i="17"/>
  <c r="C119" i="17" s="1"/>
  <c r="C120" i="17" s="1"/>
  <c r="C123" i="17"/>
  <c r="C124" i="17" s="1"/>
  <c r="C125" i="17" s="1"/>
  <c r="AD78" i="12"/>
  <c r="AE68" i="12"/>
  <c r="AF68" i="12" s="1"/>
  <c r="AG68" i="12" s="1"/>
  <c r="AH68" i="12" s="1"/>
  <c r="AI68" i="12" s="1"/>
  <c r="AJ68" i="12" s="1"/>
  <c r="F66" i="16"/>
  <c r="E68" i="16"/>
  <c r="F58" i="16"/>
  <c r="E61" i="16"/>
  <c r="I35" i="12"/>
  <c r="H45" i="12"/>
  <c r="H236" i="12"/>
  <c r="G235" i="12"/>
  <c r="E29" i="16"/>
  <c r="C65" i="17"/>
  <c r="C66" i="17" s="1"/>
  <c r="C73" i="17"/>
  <c r="C74" i="17" s="1"/>
  <c r="C75" i="17" s="1"/>
  <c r="C68" i="17"/>
  <c r="C69" i="17" s="1"/>
  <c r="C70" i="17" s="1"/>
  <c r="C78" i="17"/>
  <c r="C79" i="17" s="1"/>
  <c r="C80" i="17" s="1"/>
  <c r="C81" i="17" s="1"/>
  <c r="C85" i="17" s="1"/>
  <c r="C167" i="17" s="1"/>
  <c r="C62" i="2" s="1"/>
  <c r="C110" i="2" s="1"/>
  <c r="I75" i="12"/>
  <c r="J65" i="12"/>
  <c r="Z122" i="12"/>
  <c r="Y125" i="12" s="1"/>
  <c r="AA121" i="12"/>
  <c r="G169" i="2"/>
  <c r="H150" i="2"/>
  <c r="H146" i="2"/>
  <c r="D166" i="16"/>
  <c r="D160" i="16"/>
  <c r="D128" i="2"/>
  <c r="D81" i="2"/>
  <c r="D165" i="16"/>
  <c r="D126" i="2" s="1"/>
  <c r="F139" i="16"/>
  <c r="G139" i="16" s="1"/>
  <c r="C127" i="2"/>
  <c r="D50" i="16"/>
  <c r="F27" i="16"/>
  <c r="H41" i="16"/>
  <c r="H31" i="16"/>
  <c r="G32" i="16"/>
  <c r="G26" i="16"/>
  <c r="G138" i="16"/>
  <c r="F164" i="16"/>
  <c r="F159" i="16"/>
  <c r="F83" i="2"/>
  <c r="F84" i="2" s="1"/>
  <c r="G30" i="16"/>
  <c r="F37" i="16"/>
  <c r="F39" i="16"/>
  <c r="G151" i="16"/>
  <c r="D125" i="2"/>
  <c r="G28" i="16"/>
  <c r="G136" i="16"/>
  <c r="F152" i="16"/>
  <c r="E128" i="2"/>
  <c r="E160" i="16"/>
  <c r="E166" i="16"/>
  <c r="F38" i="16"/>
  <c r="G137" i="16"/>
  <c r="F153" i="16"/>
  <c r="H141" i="2"/>
  <c r="I99" i="12" l="1"/>
  <c r="I100" i="12" s="1"/>
  <c r="J91" i="12"/>
  <c r="G69" i="12"/>
  <c r="F70" i="12"/>
  <c r="F71" i="12" s="1"/>
  <c r="F79" i="12"/>
  <c r="F80" i="12" s="1"/>
  <c r="E38" i="12"/>
  <c r="E39" i="12" s="1"/>
  <c r="E47" i="12"/>
  <c r="E48" i="12" s="1"/>
  <c r="C129" i="2"/>
  <c r="C26" i="17"/>
  <c r="C27" i="17" s="1"/>
  <c r="C28" i="17" s="1"/>
  <c r="D112" i="16"/>
  <c r="D83" i="16"/>
  <c r="D111" i="16" s="1"/>
  <c r="C71" i="2"/>
  <c r="H66" i="12"/>
  <c r="H76" i="12" s="1"/>
  <c r="C101" i="16"/>
  <c r="C108" i="16" s="1"/>
  <c r="C125" i="16" s="1"/>
  <c r="D87" i="16"/>
  <c r="E23" i="16"/>
  <c r="E83" i="16" s="1"/>
  <c r="E111" i="16" s="1"/>
  <c r="C115" i="2"/>
  <c r="C74" i="2"/>
  <c r="C76" i="2" s="1"/>
  <c r="D72" i="2"/>
  <c r="D68" i="2"/>
  <c r="C117" i="2"/>
  <c r="C116" i="2"/>
  <c r="D85" i="16"/>
  <c r="D113" i="16" s="1"/>
  <c r="D124" i="16"/>
  <c r="G33" i="12"/>
  <c r="F37" i="12"/>
  <c r="F43" i="12"/>
  <c r="D93" i="16"/>
  <c r="D119" i="16" s="1"/>
  <c r="C69" i="2"/>
  <c r="D84" i="16"/>
  <c r="E79" i="2"/>
  <c r="D92" i="16"/>
  <c r="D94" i="16"/>
  <c r="D97" i="16"/>
  <c r="D70" i="2"/>
  <c r="D88" i="16"/>
  <c r="D115" i="16" s="1"/>
  <c r="D98" i="16"/>
  <c r="D123" i="16" s="1"/>
  <c r="D116" i="16"/>
  <c r="D90" i="16"/>
  <c r="D117" i="16" s="1"/>
  <c r="C102" i="16"/>
  <c r="E50" i="16"/>
  <c r="D95" i="16"/>
  <c r="D121" i="16" s="1"/>
  <c r="F47" i="16"/>
  <c r="D75" i="2"/>
  <c r="C67" i="2"/>
  <c r="C103" i="16"/>
  <c r="D120" i="16"/>
  <c r="D25" i="17"/>
  <c r="C104" i="16"/>
  <c r="D89" i="16"/>
  <c r="D99" i="16"/>
  <c r="AC54" i="12"/>
  <c r="E82" i="2"/>
  <c r="E127" i="2"/>
  <c r="AJ22" i="12"/>
  <c r="AJ23" i="12" s="1"/>
  <c r="AI23" i="12"/>
  <c r="AI24" i="12" s="1"/>
  <c r="J68" i="12"/>
  <c r="I78" i="12"/>
  <c r="H34" i="12"/>
  <c r="G44" i="12"/>
  <c r="AH24" i="12"/>
  <c r="J35" i="12"/>
  <c r="I45" i="12"/>
  <c r="J225" i="12"/>
  <c r="I224" i="12"/>
  <c r="I152" i="17" s="1"/>
  <c r="H65" i="16"/>
  <c r="G67" i="16"/>
  <c r="AI65" i="12"/>
  <c r="J75" i="12"/>
  <c r="C87" i="12"/>
  <c r="C92" i="12" s="1"/>
  <c r="K65" i="12"/>
  <c r="E114" i="17"/>
  <c r="F57" i="12"/>
  <c r="E64" i="17"/>
  <c r="C84" i="17"/>
  <c r="C76" i="17"/>
  <c r="C129" i="17"/>
  <c r="C126" i="17"/>
  <c r="G57" i="16"/>
  <c r="F60" i="16"/>
  <c r="H51" i="12"/>
  <c r="H56" i="12" s="1"/>
  <c r="D123" i="17"/>
  <c r="D124" i="17" s="1"/>
  <c r="D125" i="17" s="1"/>
  <c r="D118" i="17"/>
  <c r="D119" i="17" s="1"/>
  <c r="D120" i="17" s="1"/>
  <c r="F49" i="16"/>
  <c r="G46" i="16"/>
  <c r="F48" i="16"/>
  <c r="AG66" i="12"/>
  <c r="E73" i="16"/>
  <c r="F72" i="16"/>
  <c r="G146" i="16"/>
  <c r="G154" i="16" s="1"/>
  <c r="H145" i="16"/>
  <c r="C71" i="17"/>
  <c r="G58" i="16"/>
  <c r="F61" i="16"/>
  <c r="C121" i="17"/>
  <c r="G56" i="16"/>
  <c r="F59" i="16"/>
  <c r="F138" i="2"/>
  <c r="H235" i="12"/>
  <c r="I236" i="12"/>
  <c r="Q146" i="17"/>
  <c r="C147" i="17"/>
  <c r="C148" i="17" s="1"/>
  <c r="C155" i="17" s="1"/>
  <c r="D78" i="17"/>
  <c r="D79" i="17" s="1"/>
  <c r="D80" i="17" s="1"/>
  <c r="D81" i="17" s="1"/>
  <c r="D85" i="17" s="1"/>
  <c r="D167" i="17" s="1"/>
  <c r="D62" i="2" s="1"/>
  <c r="D110" i="2" s="1"/>
  <c r="D68" i="17"/>
  <c r="D69" i="17" s="1"/>
  <c r="D70" i="17" s="1"/>
  <c r="D73" i="17"/>
  <c r="D74" i="17" s="1"/>
  <c r="D75" i="17" s="1"/>
  <c r="I67" i="12"/>
  <c r="H77" i="12"/>
  <c r="F29" i="16"/>
  <c r="C168" i="16"/>
  <c r="C169" i="16" s="1"/>
  <c r="AB121" i="12"/>
  <c r="AA122" i="12"/>
  <c r="Z125" i="12" s="1"/>
  <c r="I66" i="12"/>
  <c r="F68" i="16"/>
  <c r="G66" i="16"/>
  <c r="G36" i="12"/>
  <c r="F46" i="12"/>
  <c r="I150" i="2"/>
  <c r="H169" i="2"/>
  <c r="I146" i="2"/>
  <c r="F155" i="16"/>
  <c r="F81" i="2" s="1"/>
  <c r="D168" i="16"/>
  <c r="D167" i="16"/>
  <c r="D129" i="2"/>
  <c r="C127" i="16"/>
  <c r="G27" i="16"/>
  <c r="H27" i="16" s="1"/>
  <c r="H43" i="16"/>
  <c r="H44" i="16"/>
  <c r="H42" i="16"/>
  <c r="I41" i="16"/>
  <c r="E168" i="16"/>
  <c r="E125" i="2"/>
  <c r="H28" i="16"/>
  <c r="G39" i="16"/>
  <c r="H136" i="16"/>
  <c r="G152" i="16"/>
  <c r="F163" i="16"/>
  <c r="F127" i="2" s="1"/>
  <c r="F82" i="2"/>
  <c r="E129" i="2"/>
  <c r="E167" i="16"/>
  <c r="H32" i="16"/>
  <c r="F79" i="2"/>
  <c r="F162" i="16"/>
  <c r="F166" i="16"/>
  <c r="F128" i="2"/>
  <c r="F160" i="16"/>
  <c r="H137" i="16"/>
  <c r="G153" i="16"/>
  <c r="G38" i="16"/>
  <c r="H38" i="16" s="1"/>
  <c r="G159" i="16"/>
  <c r="G83" i="2"/>
  <c r="G84" i="2" s="1"/>
  <c r="G36" i="16"/>
  <c r="H36" i="16" s="1"/>
  <c r="H138" i="16"/>
  <c r="G164" i="16"/>
  <c r="G155" i="16"/>
  <c r="H139" i="16"/>
  <c r="H151" i="16"/>
  <c r="G37" i="16"/>
  <c r="H30" i="16"/>
  <c r="I30" i="16" s="1"/>
  <c r="H26" i="16"/>
  <c r="G35" i="16"/>
  <c r="I141" i="2"/>
  <c r="J99" i="12" l="1"/>
  <c r="J100" i="12" s="1"/>
  <c r="K91" i="12"/>
  <c r="C29" i="17"/>
  <c r="E97" i="16"/>
  <c r="C30" i="17"/>
  <c r="C31" i="17" s="1"/>
  <c r="C109" i="16"/>
  <c r="C120" i="2" s="1"/>
  <c r="E88" i="16"/>
  <c r="E115" i="16" s="1"/>
  <c r="H69" i="12"/>
  <c r="G70" i="12"/>
  <c r="G71" i="12" s="1"/>
  <c r="G79" i="12"/>
  <c r="G80" i="12" s="1"/>
  <c r="D103" i="16"/>
  <c r="F38" i="12"/>
  <c r="F39" i="12" s="1"/>
  <c r="F47" i="12"/>
  <c r="F48" i="12" s="1"/>
  <c r="E26" i="17" s="1"/>
  <c r="E27" i="17" s="1"/>
  <c r="D101" i="16"/>
  <c r="D108" i="16" s="1"/>
  <c r="D119" i="2" s="1"/>
  <c r="C119" i="2"/>
  <c r="E116" i="16"/>
  <c r="E85" i="16"/>
  <c r="E113" i="16" s="1"/>
  <c r="E112" i="16"/>
  <c r="E94" i="16"/>
  <c r="E75" i="2"/>
  <c r="E98" i="16"/>
  <c r="E123" i="16" s="1"/>
  <c r="E92" i="16"/>
  <c r="E95" i="16"/>
  <c r="E121" i="16" s="1"/>
  <c r="E93" i="16"/>
  <c r="E119" i="16" s="1"/>
  <c r="E72" i="2"/>
  <c r="E120" i="16"/>
  <c r="E84" i="16"/>
  <c r="E90" i="16"/>
  <c r="E117" i="16" s="1"/>
  <c r="E124" i="16"/>
  <c r="F23" i="16"/>
  <c r="F116" i="16" s="1"/>
  <c r="E87" i="16"/>
  <c r="E68" i="2"/>
  <c r="E82" i="16"/>
  <c r="E99" i="16"/>
  <c r="E70" i="2"/>
  <c r="E89" i="16"/>
  <c r="C118" i="2"/>
  <c r="D74" i="2"/>
  <c r="D76" i="2" s="1"/>
  <c r="D127" i="16"/>
  <c r="C126" i="16"/>
  <c r="C128" i="16" s="1"/>
  <c r="F50" i="16"/>
  <c r="D104" i="16"/>
  <c r="D116" i="2"/>
  <c r="D71" i="2"/>
  <c r="D115" i="2"/>
  <c r="F165" i="16"/>
  <c r="F126" i="2" s="1"/>
  <c r="D117" i="2"/>
  <c r="D69" i="2"/>
  <c r="D102" i="16"/>
  <c r="D67" i="2"/>
  <c r="G43" i="12"/>
  <c r="G37" i="12"/>
  <c r="H33" i="12"/>
  <c r="D26" i="17"/>
  <c r="D27" i="17" s="1"/>
  <c r="D29" i="17" s="1"/>
  <c r="G47" i="16"/>
  <c r="D169" i="16"/>
  <c r="C128" i="17"/>
  <c r="AJ24" i="12"/>
  <c r="C83" i="17"/>
  <c r="I34" i="12"/>
  <c r="H44" i="12"/>
  <c r="K68" i="12"/>
  <c r="C90" i="12"/>
  <c r="J78" i="12"/>
  <c r="G49" i="16"/>
  <c r="AD54" i="12"/>
  <c r="H36" i="12"/>
  <c r="G46" i="12"/>
  <c r="D145" i="17"/>
  <c r="E68" i="17"/>
  <c r="E69" i="17" s="1"/>
  <c r="E70" i="17" s="1"/>
  <c r="E73" i="17"/>
  <c r="E74" i="17" s="1"/>
  <c r="E75" i="17" s="1"/>
  <c r="E78" i="17"/>
  <c r="E79" i="17" s="1"/>
  <c r="E80" i="17" s="1"/>
  <c r="E81" i="17" s="1"/>
  <c r="E85" i="17" s="1"/>
  <c r="E167" i="17" s="1"/>
  <c r="E62" i="2" s="1"/>
  <c r="E110" i="2" s="1"/>
  <c r="E65" i="17"/>
  <c r="E66" i="17" s="1"/>
  <c r="AJ65" i="12"/>
  <c r="H56" i="16"/>
  <c r="G59" i="16"/>
  <c r="G57" i="12"/>
  <c r="F64" i="17"/>
  <c r="F65" i="17" s="1"/>
  <c r="F66" i="17" s="1"/>
  <c r="F114" i="17"/>
  <c r="E118" i="17"/>
  <c r="E119" i="17" s="1"/>
  <c r="E120" i="17" s="1"/>
  <c r="E123" i="17"/>
  <c r="E124" i="17" s="1"/>
  <c r="E125" i="17" s="1"/>
  <c r="I65" i="16"/>
  <c r="H67" i="16"/>
  <c r="G29" i="16"/>
  <c r="H29" i="16" s="1"/>
  <c r="I29" i="16" s="1"/>
  <c r="C33" i="17"/>
  <c r="C32" i="17"/>
  <c r="C165" i="17" s="1"/>
  <c r="C59" i="2" s="1"/>
  <c r="C106" i="2" s="1"/>
  <c r="D76" i="17"/>
  <c r="D84" i="17"/>
  <c r="AH66" i="12"/>
  <c r="K75" i="12"/>
  <c r="L65" i="12"/>
  <c r="G68" i="16"/>
  <c r="H66" i="16"/>
  <c r="D71" i="17"/>
  <c r="I235" i="12"/>
  <c r="J236" i="12"/>
  <c r="C95" i="12"/>
  <c r="D87" i="12"/>
  <c r="D92" i="12" s="1"/>
  <c r="E25" i="17"/>
  <c r="G138" i="2"/>
  <c r="G72" i="16"/>
  <c r="F73" i="16"/>
  <c r="F70" i="2"/>
  <c r="AC121" i="12"/>
  <c r="AB122" i="12"/>
  <c r="AA125" i="12" s="1"/>
  <c r="J67" i="12"/>
  <c r="I77" i="12"/>
  <c r="G48" i="16"/>
  <c r="H57" i="16"/>
  <c r="G60" i="16"/>
  <c r="K35" i="12"/>
  <c r="J45" i="12"/>
  <c r="J66" i="12"/>
  <c r="I76" i="12"/>
  <c r="H58" i="16"/>
  <c r="G61" i="16"/>
  <c r="D129" i="17"/>
  <c r="D126" i="17"/>
  <c r="G23" i="16"/>
  <c r="G97" i="16" s="1"/>
  <c r="F92" i="16"/>
  <c r="F93" i="16"/>
  <c r="F119" i="16" s="1"/>
  <c r="F75" i="2"/>
  <c r="F82" i="16"/>
  <c r="F85" i="16"/>
  <c r="F113" i="16" s="1"/>
  <c r="F120" i="16"/>
  <c r="F97" i="16"/>
  <c r="F87" i="16"/>
  <c r="C145" i="2"/>
  <c r="I51" i="12"/>
  <c r="I56" i="12" s="1"/>
  <c r="F90" i="16"/>
  <c r="F117" i="16" s="1"/>
  <c r="I145" i="16"/>
  <c r="H146" i="16"/>
  <c r="H154" i="16" s="1"/>
  <c r="H46" i="16"/>
  <c r="D121" i="17"/>
  <c r="J224" i="12"/>
  <c r="J152" i="17" s="1"/>
  <c r="K225" i="12"/>
  <c r="F68" i="2"/>
  <c r="J150" i="2"/>
  <c r="I169" i="2"/>
  <c r="J146" i="2"/>
  <c r="E169" i="16"/>
  <c r="J41" i="16"/>
  <c r="I44" i="16"/>
  <c r="I42" i="16"/>
  <c r="I43" i="16"/>
  <c r="G82" i="2"/>
  <c r="G163" i="16"/>
  <c r="G127" i="2" s="1"/>
  <c r="J30" i="16"/>
  <c r="I136" i="16"/>
  <c r="H152" i="16"/>
  <c r="I137" i="16"/>
  <c r="H153" i="16"/>
  <c r="G79" i="2"/>
  <c r="G162" i="16"/>
  <c r="I32" i="16"/>
  <c r="I26" i="16"/>
  <c r="H39" i="16"/>
  <c r="I138" i="16"/>
  <c r="H164" i="16"/>
  <c r="I38" i="16"/>
  <c r="I36" i="16"/>
  <c r="I28" i="16"/>
  <c r="I151" i="16"/>
  <c r="G166" i="16"/>
  <c r="G128" i="2"/>
  <c r="G160" i="16"/>
  <c r="F125" i="2"/>
  <c r="H37" i="16"/>
  <c r="F129" i="2"/>
  <c r="F167" i="16"/>
  <c r="I27" i="16"/>
  <c r="I139" i="16"/>
  <c r="H155" i="16"/>
  <c r="H35" i="16"/>
  <c r="H159" i="16"/>
  <c r="H83" i="2"/>
  <c r="H84" i="2" s="1"/>
  <c r="G165" i="16"/>
  <c r="G126" i="2" s="1"/>
  <c r="G81" i="2"/>
  <c r="I31" i="16"/>
  <c r="J141" i="2"/>
  <c r="L91" i="12" l="1"/>
  <c r="K99" i="12"/>
  <c r="K100" i="12" s="1"/>
  <c r="D125" i="16"/>
  <c r="F98" i="16"/>
  <c r="F123" i="16" s="1"/>
  <c r="I69" i="12"/>
  <c r="H70" i="12"/>
  <c r="H71" i="12" s="1"/>
  <c r="H79" i="12"/>
  <c r="H80" i="12" s="1"/>
  <c r="F89" i="16"/>
  <c r="F95" i="16"/>
  <c r="F121" i="16" s="1"/>
  <c r="F116" i="2" s="1"/>
  <c r="F99" i="16"/>
  <c r="F94" i="16"/>
  <c r="D109" i="16"/>
  <c r="D120" i="2" s="1"/>
  <c r="F124" i="16"/>
  <c r="C166" i="2"/>
  <c r="E102" i="16"/>
  <c r="E103" i="16"/>
  <c r="G83" i="16"/>
  <c r="G111" i="16" s="1"/>
  <c r="E117" i="2"/>
  <c r="E127" i="16"/>
  <c r="G38" i="12"/>
  <c r="G39" i="12" s="1"/>
  <c r="G47" i="12"/>
  <c r="G48" i="12" s="1"/>
  <c r="F25" i="17" s="1"/>
  <c r="E71" i="2"/>
  <c r="F83" i="16"/>
  <c r="F111" i="16" s="1"/>
  <c r="E67" i="2"/>
  <c r="E115" i="2"/>
  <c r="F112" i="16"/>
  <c r="F88" i="16"/>
  <c r="F115" i="16" s="1"/>
  <c r="F72" i="2"/>
  <c r="E74" i="2"/>
  <c r="E76" i="2" s="1"/>
  <c r="E116" i="2"/>
  <c r="E101" i="16"/>
  <c r="E108" i="16" s="1"/>
  <c r="E109" i="16" s="1"/>
  <c r="D118" i="2"/>
  <c r="D28" i="17"/>
  <c r="E28" i="17" s="1"/>
  <c r="C163" i="17"/>
  <c r="C54" i="2" s="1"/>
  <c r="C101" i="2" s="1"/>
  <c r="E104" i="16"/>
  <c r="F168" i="16"/>
  <c r="F169" i="16" s="1"/>
  <c r="F84" i="16"/>
  <c r="E69" i="2"/>
  <c r="G116" i="16"/>
  <c r="C161" i="17"/>
  <c r="C49" i="2" s="1"/>
  <c r="C96" i="2" s="1"/>
  <c r="H43" i="12"/>
  <c r="H37" i="12"/>
  <c r="I33" i="12"/>
  <c r="H47" i="16"/>
  <c r="D30" i="17"/>
  <c r="D31" i="17" s="1"/>
  <c r="D33" i="17" s="1"/>
  <c r="G68" i="2"/>
  <c r="G98" i="16"/>
  <c r="G123" i="16" s="1"/>
  <c r="G88" i="16"/>
  <c r="G115" i="16" s="1"/>
  <c r="G90" i="16"/>
  <c r="G117" i="16" s="1"/>
  <c r="D83" i="17"/>
  <c r="G70" i="2"/>
  <c r="G112" i="16"/>
  <c r="G84" i="16"/>
  <c r="G89" i="16"/>
  <c r="D90" i="12"/>
  <c r="C98" i="12"/>
  <c r="K78" i="12"/>
  <c r="L68" i="12"/>
  <c r="H49" i="16"/>
  <c r="D128" i="17"/>
  <c r="J34" i="12"/>
  <c r="I44" i="12"/>
  <c r="G64" i="17"/>
  <c r="G114" i="17"/>
  <c r="H57" i="12"/>
  <c r="C88" i="12"/>
  <c r="J76" i="12"/>
  <c r="K66" i="12"/>
  <c r="D95" i="12"/>
  <c r="E87" i="12"/>
  <c r="E92" i="12" s="1"/>
  <c r="G50" i="16"/>
  <c r="I146" i="16"/>
  <c r="I154" i="16" s="1"/>
  <c r="J145" i="16"/>
  <c r="F101" i="16"/>
  <c r="F108" i="16" s="1"/>
  <c r="F74" i="2"/>
  <c r="F76" i="2" s="1"/>
  <c r="L35" i="12"/>
  <c r="K45" i="12"/>
  <c r="L75" i="12"/>
  <c r="M65" i="12"/>
  <c r="C89" i="12"/>
  <c r="J77" i="12"/>
  <c r="K67" i="12"/>
  <c r="I58" i="16"/>
  <c r="H61" i="16"/>
  <c r="E29" i="17"/>
  <c r="J235" i="12"/>
  <c r="K236" i="12"/>
  <c r="E126" i="17"/>
  <c r="E129" i="17"/>
  <c r="F123" i="17"/>
  <c r="F124" i="17" s="1"/>
  <c r="F125" i="17" s="1"/>
  <c r="F118" i="17"/>
  <c r="F119" i="17" s="1"/>
  <c r="F120" i="17" s="1"/>
  <c r="R146" i="17"/>
  <c r="D147" i="17"/>
  <c r="D148" i="17" s="1"/>
  <c r="D155" i="17" s="1"/>
  <c r="H68" i="16"/>
  <c r="I66" i="16"/>
  <c r="H138" i="2"/>
  <c r="I57" i="16"/>
  <c r="H60" i="16"/>
  <c r="AC122" i="12"/>
  <c r="AB125" i="12" s="1"/>
  <c r="AD121" i="12"/>
  <c r="AD122" i="12" s="1"/>
  <c r="AC125" i="12" s="1"/>
  <c r="E145" i="17"/>
  <c r="E30" i="17"/>
  <c r="E31" i="17" s="1"/>
  <c r="E121" i="17"/>
  <c r="F68" i="17"/>
  <c r="F69" i="17" s="1"/>
  <c r="F70" i="17" s="1"/>
  <c r="F78" i="17"/>
  <c r="F79" i="17" s="1"/>
  <c r="F80" i="17" s="1"/>
  <c r="F81" i="17" s="1"/>
  <c r="F85" i="17" s="1"/>
  <c r="F167" i="17" s="1"/>
  <c r="F62" i="2" s="1"/>
  <c r="F110" i="2" s="1"/>
  <c r="F73" i="17"/>
  <c r="F74" i="17" s="1"/>
  <c r="F75" i="17" s="1"/>
  <c r="J51" i="12"/>
  <c r="J56" i="12" s="1"/>
  <c r="G99" i="16"/>
  <c r="H48" i="16"/>
  <c r="G124" i="16"/>
  <c r="G72" i="2"/>
  <c r="J65" i="16"/>
  <c r="I67" i="16"/>
  <c r="I56" i="16"/>
  <c r="H59" i="16"/>
  <c r="E84" i="17"/>
  <c r="E76" i="17"/>
  <c r="L225" i="12"/>
  <c r="K224" i="12"/>
  <c r="K152" i="17" s="1"/>
  <c r="I46" i="16"/>
  <c r="H23" i="16"/>
  <c r="H88" i="16" s="1"/>
  <c r="H115" i="16" s="1"/>
  <c r="G92" i="16"/>
  <c r="G85" i="16"/>
  <c r="G113" i="16" s="1"/>
  <c r="G95" i="16"/>
  <c r="G121" i="16" s="1"/>
  <c r="G120" i="16"/>
  <c r="G93" i="16"/>
  <c r="G119" i="16" s="1"/>
  <c r="G75" i="2"/>
  <c r="G82" i="16"/>
  <c r="G87" i="16"/>
  <c r="G73" i="16"/>
  <c r="G94" i="16" s="1"/>
  <c r="H72" i="16"/>
  <c r="AI66" i="12"/>
  <c r="E71" i="17"/>
  <c r="I36" i="12"/>
  <c r="H46" i="12"/>
  <c r="J169" i="2"/>
  <c r="K150" i="2"/>
  <c r="K146" i="2"/>
  <c r="J43" i="16"/>
  <c r="K41" i="16"/>
  <c r="J42" i="16"/>
  <c r="J44" i="16"/>
  <c r="J27" i="16"/>
  <c r="J31" i="16"/>
  <c r="K31" i="16" s="1"/>
  <c r="J28" i="16"/>
  <c r="G167" i="16"/>
  <c r="G129" i="2"/>
  <c r="J137" i="16"/>
  <c r="I153" i="16"/>
  <c r="H82" i="2"/>
  <c r="H163" i="16"/>
  <c r="H127" i="2" s="1"/>
  <c r="J38" i="16"/>
  <c r="I39" i="16"/>
  <c r="J26" i="16"/>
  <c r="I35" i="16"/>
  <c r="H81" i="2"/>
  <c r="H165" i="16"/>
  <c r="H126" i="2" s="1"/>
  <c r="J139" i="16"/>
  <c r="I155" i="16"/>
  <c r="I159" i="16"/>
  <c r="I83" i="2"/>
  <c r="I84" i="2" s="1"/>
  <c r="J32" i="16"/>
  <c r="H166" i="16"/>
  <c r="H128" i="2"/>
  <c r="H160" i="16"/>
  <c r="I37" i="16"/>
  <c r="J151" i="16"/>
  <c r="J138" i="16"/>
  <c r="I164" i="16"/>
  <c r="J29" i="16"/>
  <c r="H162" i="16"/>
  <c r="H79" i="2"/>
  <c r="G125" i="2"/>
  <c r="G168" i="16"/>
  <c r="J136" i="16"/>
  <c r="I152" i="16"/>
  <c r="K141" i="2"/>
  <c r="M91" i="12" l="1"/>
  <c r="L99" i="12"/>
  <c r="L100" i="12" s="1"/>
  <c r="F104" i="16"/>
  <c r="F69" i="2"/>
  <c r="D126" i="16"/>
  <c r="D128" i="16" s="1"/>
  <c r="F71" i="2"/>
  <c r="J69" i="12"/>
  <c r="I70" i="12"/>
  <c r="I71" i="12" s="1"/>
  <c r="I79" i="12"/>
  <c r="I80" i="12" s="1"/>
  <c r="F117" i="2"/>
  <c r="E118" i="2"/>
  <c r="F103" i="16"/>
  <c r="F115" i="2"/>
  <c r="E125" i="16"/>
  <c r="F127" i="16"/>
  <c r="E119" i="2"/>
  <c r="H38" i="12"/>
  <c r="H39" i="12" s="1"/>
  <c r="H47" i="12"/>
  <c r="H48" i="12" s="1"/>
  <c r="G25" i="17" s="1"/>
  <c r="F67" i="2"/>
  <c r="F102" i="16"/>
  <c r="F26" i="17"/>
  <c r="F27" i="17" s="1"/>
  <c r="F29" i="17" s="1"/>
  <c r="H68" i="2"/>
  <c r="D32" i="17"/>
  <c r="D165" i="17" s="1"/>
  <c r="D59" i="2" s="1"/>
  <c r="D106" i="2" s="1"/>
  <c r="G116" i="2"/>
  <c r="H116" i="16"/>
  <c r="G115" i="2"/>
  <c r="J33" i="12"/>
  <c r="I37" i="12"/>
  <c r="I43" i="12"/>
  <c r="H98" i="16"/>
  <c r="H123" i="16" s="1"/>
  <c r="H90" i="16"/>
  <c r="H117" i="16" s="1"/>
  <c r="D163" i="17"/>
  <c r="D54" i="2" s="1"/>
  <c r="D101" i="2" s="1"/>
  <c r="H89" i="16"/>
  <c r="H72" i="2"/>
  <c r="E128" i="17"/>
  <c r="G104" i="16"/>
  <c r="G103" i="16"/>
  <c r="D161" i="17"/>
  <c r="D49" i="2" s="1"/>
  <c r="D96" i="2" s="1"/>
  <c r="H70" i="2"/>
  <c r="E83" i="17"/>
  <c r="G117" i="2"/>
  <c r="G71" i="2"/>
  <c r="L78" i="12"/>
  <c r="M68" i="12"/>
  <c r="J44" i="12"/>
  <c r="K34" i="12"/>
  <c r="H50" i="16"/>
  <c r="G69" i="2"/>
  <c r="D98" i="12"/>
  <c r="E90" i="12"/>
  <c r="J46" i="16"/>
  <c r="J56" i="16"/>
  <c r="I59" i="16"/>
  <c r="J66" i="16"/>
  <c r="I68" i="16"/>
  <c r="F109" i="16"/>
  <c r="F119" i="2"/>
  <c r="F125" i="16"/>
  <c r="C96" i="12"/>
  <c r="D88" i="12"/>
  <c r="K51" i="12"/>
  <c r="K56" i="12" s="1"/>
  <c r="G127" i="16"/>
  <c r="I72" i="16"/>
  <c r="H73" i="16"/>
  <c r="H94" i="16" s="1"/>
  <c r="I57" i="12"/>
  <c r="H114" i="17"/>
  <c r="H64" i="17"/>
  <c r="D166" i="2"/>
  <c r="I47" i="16"/>
  <c r="K65" i="16"/>
  <c r="J67" i="16"/>
  <c r="F71" i="17"/>
  <c r="J57" i="16"/>
  <c r="I60" i="16"/>
  <c r="F121" i="17"/>
  <c r="J146" i="16"/>
  <c r="J154" i="16" s="1"/>
  <c r="K145" i="16"/>
  <c r="F84" i="17"/>
  <c r="F76" i="17"/>
  <c r="E120" i="2"/>
  <c r="E126" i="16"/>
  <c r="F126" i="17"/>
  <c r="F129" i="17"/>
  <c r="N65" i="12"/>
  <c r="M75" i="12"/>
  <c r="G102" i="16"/>
  <c r="L67" i="12"/>
  <c r="K77" i="12"/>
  <c r="E95" i="12"/>
  <c r="F87" i="12"/>
  <c r="F92" i="12" s="1"/>
  <c r="G68" i="17"/>
  <c r="G69" i="17" s="1"/>
  <c r="G70" i="17" s="1"/>
  <c r="G78" i="17"/>
  <c r="G79" i="17" s="1"/>
  <c r="G80" i="17" s="1"/>
  <c r="G81" i="17" s="1"/>
  <c r="G85" i="17" s="1"/>
  <c r="G167" i="17" s="1"/>
  <c r="G62" i="2" s="1"/>
  <c r="G110" i="2" s="1"/>
  <c r="G73" i="17"/>
  <c r="G74" i="17" s="1"/>
  <c r="G75" i="17" s="1"/>
  <c r="G65" i="17"/>
  <c r="G66" i="17" s="1"/>
  <c r="J36" i="12"/>
  <c r="I46" i="12"/>
  <c r="G74" i="2"/>
  <c r="G76" i="2" s="1"/>
  <c r="I23" i="16"/>
  <c r="H92" i="16"/>
  <c r="H82" i="16"/>
  <c r="H85" i="16"/>
  <c r="H113" i="16" s="1"/>
  <c r="H87" i="16"/>
  <c r="H83" i="16"/>
  <c r="H111" i="16" s="1"/>
  <c r="H84" i="16"/>
  <c r="H120" i="16"/>
  <c r="H75" i="2"/>
  <c r="H112" i="16"/>
  <c r="H93" i="16"/>
  <c r="H119" i="16" s="1"/>
  <c r="H95" i="16"/>
  <c r="H121" i="16" s="1"/>
  <c r="E33" i="17"/>
  <c r="E32" i="17"/>
  <c r="E165" i="17" s="1"/>
  <c r="E59" i="2" s="1"/>
  <c r="E106" i="2" s="1"/>
  <c r="I49" i="16"/>
  <c r="F145" i="17"/>
  <c r="D145" i="2"/>
  <c r="K235" i="12"/>
  <c r="L236" i="12"/>
  <c r="J58" i="16"/>
  <c r="I61" i="16"/>
  <c r="G123" i="17"/>
  <c r="G124" i="17" s="1"/>
  <c r="G125" i="17" s="1"/>
  <c r="G118" i="17"/>
  <c r="G119" i="17" s="1"/>
  <c r="G120" i="17" s="1"/>
  <c r="G67" i="2"/>
  <c r="G101" i="16"/>
  <c r="G108" i="16" s="1"/>
  <c r="M225" i="12"/>
  <c r="L224" i="12"/>
  <c r="L152" i="17" s="1"/>
  <c r="H124" i="16"/>
  <c r="H99" i="16"/>
  <c r="I48" i="16"/>
  <c r="E147" i="17"/>
  <c r="E148" i="17" s="1"/>
  <c r="E155" i="17" s="1"/>
  <c r="S146" i="17"/>
  <c r="I138" i="2"/>
  <c r="D89" i="12"/>
  <c r="C97" i="12"/>
  <c r="AJ66" i="12"/>
  <c r="H97" i="16"/>
  <c r="M35" i="12"/>
  <c r="L45" i="12"/>
  <c r="L66" i="12"/>
  <c r="K76" i="12"/>
  <c r="L150" i="2"/>
  <c r="K169" i="2"/>
  <c r="L146" i="2"/>
  <c r="G169" i="16"/>
  <c r="K42" i="16"/>
  <c r="L41" i="16"/>
  <c r="K44" i="16"/>
  <c r="K43" i="16"/>
  <c r="J35" i="16"/>
  <c r="K137" i="16"/>
  <c r="J153" i="16"/>
  <c r="K139" i="16"/>
  <c r="J155" i="16"/>
  <c r="I163" i="16"/>
  <c r="I127" i="2" s="1"/>
  <c r="I82" i="2"/>
  <c r="K138" i="16"/>
  <c r="J164" i="16"/>
  <c r="K136" i="16"/>
  <c r="J152" i="16"/>
  <c r="K151" i="16"/>
  <c r="I128" i="2"/>
  <c r="I160" i="16"/>
  <c r="I166" i="16"/>
  <c r="K26" i="16"/>
  <c r="J39" i="16"/>
  <c r="J37" i="16"/>
  <c r="K38" i="16"/>
  <c r="I162" i="16"/>
  <c r="I79" i="2"/>
  <c r="J159" i="16"/>
  <c r="J83" i="2"/>
  <c r="J84" i="2" s="1"/>
  <c r="H125" i="2"/>
  <c r="H168" i="16"/>
  <c r="K27" i="16"/>
  <c r="L27" i="16" s="1"/>
  <c r="H167" i="16"/>
  <c r="H129" i="2"/>
  <c r="K29" i="16"/>
  <c r="K32" i="16"/>
  <c r="I165" i="16"/>
  <c r="I126" i="2" s="1"/>
  <c r="I81" i="2"/>
  <c r="K30" i="16"/>
  <c r="L30" i="16" s="1"/>
  <c r="K28" i="16"/>
  <c r="L28" i="16" s="1"/>
  <c r="J36" i="16"/>
  <c r="K36" i="16" s="1"/>
  <c r="L141" i="2"/>
  <c r="F118" i="2" l="1"/>
  <c r="N91" i="12"/>
  <c r="M99" i="12"/>
  <c r="M100" i="12" s="1"/>
  <c r="K69" i="12"/>
  <c r="J79" i="12"/>
  <c r="J80" i="12" s="1"/>
  <c r="J70" i="12"/>
  <c r="E128" i="16"/>
  <c r="G26" i="17"/>
  <c r="G27" i="17" s="1"/>
  <c r="I38" i="12"/>
  <c r="I39" i="12" s="1"/>
  <c r="I47" i="12"/>
  <c r="I48" i="12" s="1"/>
  <c r="H26" i="17" s="1"/>
  <c r="H27" i="17" s="1"/>
  <c r="F28" i="17"/>
  <c r="G28" i="17" s="1"/>
  <c r="F30" i="17"/>
  <c r="F31" i="17" s="1"/>
  <c r="G118" i="2"/>
  <c r="J37" i="12"/>
  <c r="K33" i="12"/>
  <c r="J43" i="12"/>
  <c r="J47" i="16"/>
  <c r="H116" i="2"/>
  <c r="J49" i="16"/>
  <c r="H115" i="2"/>
  <c r="F83" i="17"/>
  <c r="H104" i="16"/>
  <c r="I50" i="16"/>
  <c r="E161" i="17"/>
  <c r="E49" i="2" s="1"/>
  <c r="E96" i="2" s="1"/>
  <c r="H71" i="2"/>
  <c r="H69" i="2"/>
  <c r="H102" i="16"/>
  <c r="H103" i="16"/>
  <c r="E163" i="17"/>
  <c r="E54" i="2" s="1"/>
  <c r="E101" i="2" s="1"/>
  <c r="H67" i="2"/>
  <c r="H127" i="16"/>
  <c r="I70" i="2"/>
  <c r="H74" i="2"/>
  <c r="H76" i="2" s="1"/>
  <c r="M78" i="12"/>
  <c r="N68" i="12"/>
  <c r="H117" i="2"/>
  <c r="F128" i="17"/>
  <c r="L34" i="12"/>
  <c r="K44" i="12"/>
  <c r="F90" i="12"/>
  <c r="E98" i="12"/>
  <c r="H65" i="17"/>
  <c r="H66" i="17" s="1"/>
  <c r="G76" i="17"/>
  <c r="G84" i="17"/>
  <c r="L77" i="12"/>
  <c r="M67" i="12"/>
  <c r="I90" i="16"/>
  <c r="I117" i="16" s="1"/>
  <c r="K57" i="16"/>
  <c r="J60" i="16"/>
  <c r="K66" i="16"/>
  <c r="J68" i="16"/>
  <c r="N75" i="12"/>
  <c r="O65" i="12"/>
  <c r="J72" i="16"/>
  <c r="I73" i="16"/>
  <c r="I94" i="16" s="1"/>
  <c r="J138" i="2"/>
  <c r="F32" i="17"/>
  <c r="F33" i="17"/>
  <c r="F120" i="2"/>
  <c r="F126" i="16"/>
  <c r="F128" i="16" s="1"/>
  <c r="L76" i="12"/>
  <c r="M66" i="12"/>
  <c r="G126" i="17"/>
  <c r="G129" i="17"/>
  <c r="F147" i="17"/>
  <c r="F148" i="17" s="1"/>
  <c r="F155" i="17" s="1"/>
  <c r="T146" i="17"/>
  <c r="G87" i="12"/>
  <c r="G92" i="12" s="1"/>
  <c r="F95" i="12"/>
  <c r="G29" i="17"/>
  <c r="H123" i="17"/>
  <c r="H124" i="17" s="1"/>
  <c r="H125" i="17" s="1"/>
  <c r="H118" i="17"/>
  <c r="H119" i="17" s="1"/>
  <c r="H120" i="17" s="1"/>
  <c r="L51" i="12"/>
  <c r="L56" i="12" s="1"/>
  <c r="J23" i="16"/>
  <c r="J97" i="16" s="1"/>
  <c r="I92" i="16"/>
  <c r="I93" i="16"/>
  <c r="I119" i="16" s="1"/>
  <c r="I87" i="16"/>
  <c r="I84" i="16"/>
  <c r="I85" i="16"/>
  <c r="I113" i="16" s="1"/>
  <c r="I82" i="16"/>
  <c r="I95" i="16"/>
  <c r="I121" i="16" s="1"/>
  <c r="I83" i="16"/>
  <c r="I111" i="16" s="1"/>
  <c r="I120" i="16"/>
  <c r="I112" i="16"/>
  <c r="G71" i="17"/>
  <c r="G145" i="17"/>
  <c r="G30" i="17"/>
  <c r="G31" i="17" s="1"/>
  <c r="I72" i="2"/>
  <c r="E145" i="2"/>
  <c r="N225" i="12"/>
  <c r="M224" i="12"/>
  <c r="M152" i="17" s="1"/>
  <c r="K36" i="12"/>
  <c r="J46" i="12"/>
  <c r="L145" i="16"/>
  <c r="K146" i="16"/>
  <c r="K154" i="16" s="1"/>
  <c r="O140" i="17"/>
  <c r="O141" i="17" s="1"/>
  <c r="Y140" i="17"/>
  <c r="Y141" i="17" s="1"/>
  <c r="E140" i="17"/>
  <c r="E141" i="17" s="1"/>
  <c r="E142" i="17" s="1"/>
  <c r="AC140" i="17"/>
  <c r="AC141" i="17" s="1"/>
  <c r="N140" i="17"/>
  <c r="N141" i="17" s="1"/>
  <c r="H140" i="17"/>
  <c r="H141" i="17" s="1"/>
  <c r="H142" i="17" s="1"/>
  <c r="Z140" i="17"/>
  <c r="Z141" i="17" s="1"/>
  <c r="D140" i="17"/>
  <c r="D141" i="17" s="1"/>
  <c r="D142" i="17" s="1"/>
  <c r="I140" i="17"/>
  <c r="I141" i="17" s="1"/>
  <c r="I142" i="17" s="1"/>
  <c r="S140" i="17"/>
  <c r="S141" i="17" s="1"/>
  <c r="M140" i="17"/>
  <c r="M141" i="17" s="1"/>
  <c r="T140" i="17"/>
  <c r="T141" i="17" s="1"/>
  <c r="W140" i="17"/>
  <c r="W141" i="17" s="1"/>
  <c r="J140" i="17"/>
  <c r="J141" i="17" s="1"/>
  <c r="J142" i="17" s="1"/>
  <c r="V140" i="17"/>
  <c r="V141" i="17" s="1"/>
  <c r="AB140" i="17"/>
  <c r="AB141" i="17" s="1"/>
  <c r="Q140" i="17"/>
  <c r="Q141" i="17" s="1"/>
  <c r="U140" i="17"/>
  <c r="U141" i="17" s="1"/>
  <c r="L140" i="17"/>
  <c r="L141" i="17" s="1"/>
  <c r="L142" i="17" s="1"/>
  <c r="C140" i="17"/>
  <c r="C141" i="17" s="1"/>
  <c r="C142" i="17" s="1"/>
  <c r="K140" i="17"/>
  <c r="K141" i="17" s="1"/>
  <c r="K142" i="17" s="1"/>
  <c r="P140" i="17"/>
  <c r="P141" i="17" s="1"/>
  <c r="G140" i="17"/>
  <c r="G141" i="17" s="1"/>
  <c r="G142" i="17" s="1"/>
  <c r="AA140" i="17"/>
  <c r="AA141" i="17" s="1"/>
  <c r="F140" i="17"/>
  <c r="F141" i="17" s="1"/>
  <c r="F142" i="17" s="1"/>
  <c r="R140" i="17"/>
  <c r="R141" i="17" s="1"/>
  <c r="X140" i="17"/>
  <c r="X141" i="17" s="1"/>
  <c r="J59" i="16"/>
  <c r="K56" i="16"/>
  <c r="G121" i="17"/>
  <c r="I114" i="17"/>
  <c r="J57" i="12"/>
  <c r="I64" i="17"/>
  <c r="I89" i="16"/>
  <c r="I68" i="2"/>
  <c r="I98" i="16"/>
  <c r="I123" i="16" s="1"/>
  <c r="E89" i="12"/>
  <c r="D97" i="12"/>
  <c r="I99" i="16"/>
  <c r="J48" i="16"/>
  <c r="I124" i="16"/>
  <c r="G119" i="2"/>
  <c r="G125" i="16"/>
  <c r="G109" i="16"/>
  <c r="K58" i="16"/>
  <c r="J61" i="16"/>
  <c r="H101" i="16"/>
  <c r="H108" i="16" s="1"/>
  <c r="E166" i="2"/>
  <c r="L65" i="16"/>
  <c r="K67" i="16"/>
  <c r="D96" i="12"/>
  <c r="E88" i="12"/>
  <c r="I97" i="16"/>
  <c r="H73" i="17"/>
  <c r="H74" i="17" s="1"/>
  <c r="H75" i="17" s="1"/>
  <c r="H78" i="17"/>
  <c r="H79" i="17" s="1"/>
  <c r="H80" i="17" s="1"/>
  <c r="H81" i="17" s="1"/>
  <c r="H85" i="17" s="1"/>
  <c r="H167" i="17" s="1"/>
  <c r="H62" i="2" s="1"/>
  <c r="H110" i="2" s="1"/>
  <c r="H68" i="17"/>
  <c r="H69" i="17" s="1"/>
  <c r="H70" i="17" s="1"/>
  <c r="I116" i="16"/>
  <c r="I88" i="16"/>
  <c r="I115" i="16" s="1"/>
  <c r="N35" i="12"/>
  <c r="M45" i="12"/>
  <c r="I75" i="2"/>
  <c r="L235" i="12"/>
  <c r="M236" i="12"/>
  <c r="C15" i="17"/>
  <c r="C135" i="17" s="1"/>
  <c r="K46" i="16"/>
  <c r="M150" i="2"/>
  <c r="L169" i="2"/>
  <c r="M146" i="2"/>
  <c r="H169" i="16"/>
  <c r="L43" i="16"/>
  <c r="L44" i="16"/>
  <c r="M41" i="16"/>
  <c r="L42" i="16"/>
  <c r="K37" i="16"/>
  <c r="K83" i="2"/>
  <c r="K84" i="2" s="1"/>
  <c r="K159" i="16"/>
  <c r="L151" i="16"/>
  <c r="L139" i="16"/>
  <c r="K155" i="16"/>
  <c r="L32" i="16"/>
  <c r="K39" i="16"/>
  <c r="L26" i="16"/>
  <c r="J162" i="16"/>
  <c r="J79" i="2"/>
  <c r="J163" i="16"/>
  <c r="J127" i="2" s="1"/>
  <c r="J82" i="2"/>
  <c r="K35" i="16"/>
  <c r="L36" i="16"/>
  <c r="L29" i="16"/>
  <c r="J128" i="2"/>
  <c r="J166" i="16"/>
  <c r="J160" i="16"/>
  <c r="L136" i="16"/>
  <c r="K152" i="16"/>
  <c r="L137" i="16"/>
  <c r="K153" i="16"/>
  <c r="J81" i="2"/>
  <c r="J165" i="16"/>
  <c r="J126" i="2" s="1"/>
  <c r="L38" i="16"/>
  <c r="I125" i="2"/>
  <c r="I168" i="16"/>
  <c r="L138" i="16"/>
  <c r="K164" i="16"/>
  <c r="I167" i="16"/>
  <c r="I129" i="2"/>
  <c r="L31" i="16"/>
  <c r="M141" i="2"/>
  <c r="N99" i="12" l="1"/>
  <c r="N100" i="12" s="1"/>
  <c r="O91" i="12"/>
  <c r="H25" i="17"/>
  <c r="F165" i="17"/>
  <c r="F59" i="2" s="1"/>
  <c r="F106" i="2" s="1"/>
  <c r="J50" i="16"/>
  <c r="C90" i="17"/>
  <c r="J71" i="12"/>
  <c r="C40" i="17"/>
  <c r="L69" i="12"/>
  <c r="K70" i="12"/>
  <c r="K79" i="12"/>
  <c r="K80" i="12" s="1"/>
  <c r="M142" i="17"/>
  <c r="J38" i="12"/>
  <c r="J39" i="12" s="1"/>
  <c r="J47" i="12"/>
  <c r="J48" i="12" s="1"/>
  <c r="J98" i="16"/>
  <c r="J123" i="16" s="1"/>
  <c r="H118" i="2"/>
  <c r="K37" i="12"/>
  <c r="L33" i="12"/>
  <c r="K43" i="12"/>
  <c r="J68" i="2"/>
  <c r="J116" i="16"/>
  <c r="J70" i="2"/>
  <c r="J88" i="16"/>
  <c r="J115" i="16" s="1"/>
  <c r="J90" i="16"/>
  <c r="J117" i="16" s="1"/>
  <c r="J89" i="16"/>
  <c r="G83" i="17"/>
  <c r="F163" i="17"/>
  <c r="F54" i="2" s="1"/>
  <c r="F101" i="2" s="1"/>
  <c r="I67" i="2"/>
  <c r="I115" i="2"/>
  <c r="J72" i="2"/>
  <c r="I127" i="16"/>
  <c r="D15" i="17"/>
  <c r="F161" i="17"/>
  <c r="F49" i="2" s="1"/>
  <c r="F96" i="2" s="1"/>
  <c r="I116" i="2"/>
  <c r="M34" i="12"/>
  <c r="L44" i="12"/>
  <c r="I103" i="16"/>
  <c r="N78" i="12"/>
  <c r="O68" i="12"/>
  <c r="I117" i="2"/>
  <c r="G128" i="17"/>
  <c r="I102" i="16"/>
  <c r="I69" i="2"/>
  <c r="G90" i="12"/>
  <c r="F98" i="12"/>
  <c r="M65" i="16"/>
  <c r="L67" i="16"/>
  <c r="I68" i="17"/>
  <c r="I69" i="17" s="1"/>
  <c r="I70" i="17" s="1"/>
  <c r="I73" i="17"/>
  <c r="I74" i="17" s="1"/>
  <c r="I75" i="17" s="1"/>
  <c r="I78" i="17"/>
  <c r="I79" i="17" s="1"/>
  <c r="I80" i="17" s="1"/>
  <c r="I81" i="17" s="1"/>
  <c r="I85" i="17" s="1"/>
  <c r="I167" i="17" s="1"/>
  <c r="I62" i="2" s="1"/>
  <c r="I110" i="2" s="1"/>
  <c r="H121" i="17"/>
  <c r="K138" i="2"/>
  <c r="L58" i="16"/>
  <c r="K61" i="16"/>
  <c r="G126" i="16"/>
  <c r="G128" i="16" s="1"/>
  <c r="G120" i="2"/>
  <c r="I25" i="17"/>
  <c r="I26" i="17"/>
  <c r="I27" i="17" s="1"/>
  <c r="H29" i="17"/>
  <c r="H28" i="17"/>
  <c r="M76" i="12"/>
  <c r="N66" i="12"/>
  <c r="K49" i="16"/>
  <c r="L46" i="16"/>
  <c r="F89" i="12"/>
  <c r="E97" i="12"/>
  <c r="M145" i="16"/>
  <c r="L146" i="16"/>
  <c r="L154" i="16" s="1"/>
  <c r="L36" i="12"/>
  <c r="K46" i="12"/>
  <c r="H145" i="17"/>
  <c r="H30" i="17"/>
  <c r="H31" i="17" s="1"/>
  <c r="H71" i="17"/>
  <c r="I74" i="2"/>
  <c r="I76" i="2" s="1"/>
  <c r="I101" i="16"/>
  <c r="I108" i="16" s="1"/>
  <c r="I123" i="17"/>
  <c r="I124" i="17" s="1"/>
  <c r="I125" i="17" s="1"/>
  <c r="I118" i="17"/>
  <c r="I119" i="17" s="1"/>
  <c r="I120" i="17" s="1"/>
  <c r="H126" i="17"/>
  <c r="H129" i="17"/>
  <c r="N236" i="12"/>
  <c r="M235" i="12"/>
  <c r="O35" i="12"/>
  <c r="N45" i="12"/>
  <c r="E96" i="12"/>
  <c r="F88" i="12"/>
  <c r="K48" i="16"/>
  <c r="J99" i="16"/>
  <c r="J124" i="16"/>
  <c r="J73" i="16"/>
  <c r="J94" i="16" s="1"/>
  <c r="K72" i="16"/>
  <c r="K68" i="16"/>
  <c r="L66" i="16"/>
  <c r="L56" i="16"/>
  <c r="K59" i="16"/>
  <c r="C16" i="17"/>
  <c r="C17" i="17" s="1"/>
  <c r="I104" i="16"/>
  <c r="H119" i="2"/>
  <c r="H125" i="16"/>
  <c r="H109" i="16"/>
  <c r="O225" i="12"/>
  <c r="N224" i="12"/>
  <c r="N152" i="17" s="1"/>
  <c r="G32" i="17"/>
  <c r="G165" i="17" s="1"/>
  <c r="G59" i="2" s="1"/>
  <c r="G106" i="2" s="1"/>
  <c r="G33" i="17"/>
  <c r="K23" i="16"/>
  <c r="J92" i="16"/>
  <c r="J93" i="16"/>
  <c r="J119" i="16" s="1"/>
  <c r="J84" i="16"/>
  <c r="J85" i="16"/>
  <c r="J113" i="16" s="1"/>
  <c r="J75" i="2"/>
  <c r="J112" i="16"/>
  <c r="J95" i="16"/>
  <c r="J121" i="16" s="1"/>
  <c r="J83" i="16"/>
  <c r="J111" i="16" s="1"/>
  <c r="J82" i="16"/>
  <c r="J87" i="16"/>
  <c r="J120" i="16"/>
  <c r="F145" i="2"/>
  <c r="F166" i="2"/>
  <c r="M51" i="12"/>
  <c r="M56" i="12" s="1"/>
  <c r="G95" i="12"/>
  <c r="H87" i="12"/>
  <c r="H92" i="12" s="1"/>
  <c r="H84" i="17"/>
  <c r="H76" i="17"/>
  <c r="K47" i="16"/>
  <c r="I65" i="17"/>
  <c r="I66" i="17" s="1"/>
  <c r="I71" i="2"/>
  <c r="U146" i="17"/>
  <c r="G147" i="17"/>
  <c r="G148" i="17" s="1"/>
  <c r="G155" i="17" s="1"/>
  <c r="J114" i="17"/>
  <c r="J64" i="17"/>
  <c r="K57" i="12"/>
  <c r="O75" i="12"/>
  <c r="P65" i="12"/>
  <c r="L57" i="16"/>
  <c r="K60" i="16"/>
  <c r="M77" i="12"/>
  <c r="N67" i="12"/>
  <c r="M169" i="2"/>
  <c r="N150" i="2"/>
  <c r="N146" i="2"/>
  <c r="I169" i="16"/>
  <c r="M43" i="16"/>
  <c r="N41" i="16"/>
  <c r="M44" i="16"/>
  <c r="M42" i="16"/>
  <c r="M139" i="16"/>
  <c r="L155" i="16"/>
  <c r="L35" i="16"/>
  <c r="L83" i="2"/>
  <c r="L84" i="2" s="1"/>
  <c r="L159" i="16"/>
  <c r="L37" i="16"/>
  <c r="M27" i="16"/>
  <c r="N27" i="16" s="1"/>
  <c r="M26" i="16"/>
  <c r="L39" i="16"/>
  <c r="M151" i="16"/>
  <c r="J168" i="16"/>
  <c r="J125" i="2"/>
  <c r="K163" i="16"/>
  <c r="K127" i="2" s="1"/>
  <c r="K82" i="2"/>
  <c r="J129" i="2"/>
  <c r="J167" i="16"/>
  <c r="M29" i="16"/>
  <c r="M136" i="16"/>
  <c r="L152" i="16"/>
  <c r="M31" i="16"/>
  <c r="N31" i="16" s="1"/>
  <c r="M137" i="16"/>
  <c r="L153" i="16"/>
  <c r="M30" i="16"/>
  <c r="N30" i="16" s="1"/>
  <c r="M32" i="16"/>
  <c r="K166" i="16"/>
  <c r="K160" i="16"/>
  <c r="K128" i="2"/>
  <c r="M38" i="16"/>
  <c r="M138" i="16"/>
  <c r="L164" i="16"/>
  <c r="K79" i="2"/>
  <c r="K162" i="16"/>
  <c r="M28" i="16"/>
  <c r="N28" i="16" s="1"/>
  <c r="K81" i="2"/>
  <c r="K165" i="16"/>
  <c r="K126" i="2" s="1"/>
  <c r="N141" i="2"/>
  <c r="O99" i="12" l="1"/>
  <c r="O100" i="12" s="1"/>
  <c r="P91" i="12"/>
  <c r="C49" i="17"/>
  <c r="C50" i="17" s="1"/>
  <c r="C51" i="17" s="1"/>
  <c r="C44" i="17"/>
  <c r="C45" i="17" s="1"/>
  <c r="C46" i="17" s="1"/>
  <c r="C47" i="17" s="1"/>
  <c r="C54" i="17"/>
  <c r="C55" i="17" s="1"/>
  <c r="C56" i="17" s="1"/>
  <c r="C57" i="17" s="1"/>
  <c r="C61" i="17" s="1"/>
  <c r="C41" i="17"/>
  <c r="C42" i="17" s="1"/>
  <c r="K71" i="12"/>
  <c r="D40" i="17"/>
  <c r="D90" i="17"/>
  <c r="C139" i="2"/>
  <c r="C88" i="2"/>
  <c r="C99" i="17"/>
  <c r="C100" i="17" s="1"/>
  <c r="C101" i="17" s="1"/>
  <c r="C91" i="17"/>
  <c r="C92" i="17" s="1"/>
  <c r="C104" i="17"/>
  <c r="C105" i="17" s="1"/>
  <c r="C106" i="17" s="1"/>
  <c r="C94" i="17"/>
  <c r="C95" i="17" s="1"/>
  <c r="C96" i="17" s="1"/>
  <c r="C97" i="17" s="1"/>
  <c r="M69" i="12"/>
  <c r="L79" i="12"/>
  <c r="L80" i="12" s="1"/>
  <c r="L70" i="12"/>
  <c r="K38" i="12"/>
  <c r="K39" i="12" s="1"/>
  <c r="K47" i="12"/>
  <c r="K48" i="12" s="1"/>
  <c r="L37" i="12"/>
  <c r="M33" i="12"/>
  <c r="L43" i="12"/>
  <c r="K70" i="2"/>
  <c r="K72" i="2"/>
  <c r="L47" i="16"/>
  <c r="I118" i="2"/>
  <c r="J115" i="2"/>
  <c r="J116" i="2"/>
  <c r="K89" i="16"/>
  <c r="K116" i="16"/>
  <c r="G163" i="17"/>
  <c r="G54" i="2" s="1"/>
  <c r="G101" i="2" s="1"/>
  <c r="K90" i="16"/>
  <c r="K117" i="16" s="1"/>
  <c r="J127" i="16"/>
  <c r="K88" i="16"/>
  <c r="K115" i="16" s="1"/>
  <c r="K98" i="16"/>
  <c r="K123" i="16" s="1"/>
  <c r="J117" i="2"/>
  <c r="K50" i="16"/>
  <c r="H128" i="17"/>
  <c r="J104" i="16"/>
  <c r="J69" i="2"/>
  <c r="K68" i="2"/>
  <c r="O78" i="12"/>
  <c r="P68" i="12"/>
  <c r="G98" i="12"/>
  <c r="H90" i="12"/>
  <c r="H83" i="17"/>
  <c r="J74" i="2"/>
  <c r="J76" i="2" s="1"/>
  <c r="M44" i="12"/>
  <c r="N34" i="12"/>
  <c r="J71" i="2"/>
  <c r="J103" i="16"/>
  <c r="H95" i="12"/>
  <c r="I87" i="12"/>
  <c r="I92" i="12" s="1"/>
  <c r="P225" i="12"/>
  <c r="O224" i="12"/>
  <c r="H32" i="17"/>
  <c r="H165" i="17" s="1"/>
  <c r="H59" i="2" s="1"/>
  <c r="H106" i="2" s="1"/>
  <c r="H33" i="17"/>
  <c r="N142" i="17"/>
  <c r="I76" i="17"/>
  <c r="I84" i="17"/>
  <c r="N77" i="12"/>
  <c r="O67" i="12"/>
  <c r="P75" i="12"/>
  <c r="Q65" i="12"/>
  <c r="G145" i="2"/>
  <c r="K64" i="17"/>
  <c r="K114" i="17"/>
  <c r="L57" i="12"/>
  <c r="H120" i="2"/>
  <c r="H166" i="2" s="1"/>
  <c r="H126" i="16"/>
  <c r="H128" i="16" s="1"/>
  <c r="C20" i="17"/>
  <c r="C21" i="17" s="1"/>
  <c r="J26" i="17"/>
  <c r="J27" i="17" s="1"/>
  <c r="J25" i="17"/>
  <c r="G89" i="12"/>
  <c r="F97" i="12"/>
  <c r="N76" i="12"/>
  <c r="O66" i="12"/>
  <c r="I71" i="17"/>
  <c r="J73" i="17"/>
  <c r="J74" i="17" s="1"/>
  <c r="J75" i="17" s="1"/>
  <c r="J78" i="17"/>
  <c r="J79" i="17" s="1"/>
  <c r="J80" i="17" s="1"/>
  <c r="J81" i="17" s="1"/>
  <c r="J85" i="17" s="1"/>
  <c r="J167" i="17" s="1"/>
  <c r="J62" i="2" s="1"/>
  <c r="J110" i="2" s="1"/>
  <c r="J68" i="17"/>
  <c r="J69" i="17" s="1"/>
  <c r="J70" i="17" s="1"/>
  <c r="I121" i="17"/>
  <c r="N145" i="16"/>
  <c r="M146" i="16"/>
  <c r="M154" i="16" s="1"/>
  <c r="J101" i="16"/>
  <c r="J108" i="16" s="1"/>
  <c r="N51" i="12"/>
  <c r="N56" i="12" s="1"/>
  <c r="L23" i="16"/>
  <c r="L116" i="16" s="1"/>
  <c r="K92" i="16"/>
  <c r="K83" i="16"/>
  <c r="K111" i="16" s="1"/>
  <c r="K82" i="16"/>
  <c r="K112" i="16"/>
  <c r="K87" i="16"/>
  <c r="K95" i="16"/>
  <c r="K121" i="16" s="1"/>
  <c r="K120" i="16"/>
  <c r="K84" i="16"/>
  <c r="K93" i="16"/>
  <c r="K119" i="16" s="1"/>
  <c r="K85" i="16"/>
  <c r="K75" i="2"/>
  <c r="C19" i="17"/>
  <c r="C18" i="17"/>
  <c r="P35" i="12"/>
  <c r="O45" i="12"/>
  <c r="I119" i="2"/>
  <c r="I109" i="16"/>
  <c r="I125" i="16"/>
  <c r="M36" i="12"/>
  <c r="L46" i="12"/>
  <c r="M46" i="16"/>
  <c r="I29" i="17"/>
  <c r="I28" i="17"/>
  <c r="G166" i="2"/>
  <c r="V146" i="17"/>
  <c r="H147" i="17"/>
  <c r="H148" i="17" s="1"/>
  <c r="H155" i="17" s="1"/>
  <c r="M58" i="16"/>
  <c r="L61" i="16"/>
  <c r="J123" i="17"/>
  <c r="J124" i="17" s="1"/>
  <c r="J125" i="17" s="1"/>
  <c r="J118" i="17"/>
  <c r="J119" i="17" s="1"/>
  <c r="J120" i="17" s="1"/>
  <c r="I126" i="17"/>
  <c r="I129" i="17"/>
  <c r="C137" i="17"/>
  <c r="C138" i="17" s="1"/>
  <c r="C154" i="17" s="1"/>
  <c r="Q136" i="17"/>
  <c r="G88" i="12"/>
  <c r="F96" i="12"/>
  <c r="L49" i="16"/>
  <c r="I145" i="17"/>
  <c r="I30" i="17"/>
  <c r="I31" i="17" s="1"/>
  <c r="N65" i="16"/>
  <c r="M67" i="16"/>
  <c r="K73" i="16"/>
  <c r="K94" i="16" s="1"/>
  <c r="L72" i="16"/>
  <c r="L48" i="16"/>
  <c r="K99" i="16"/>
  <c r="K124" i="16"/>
  <c r="J67" i="2"/>
  <c r="J102" i="16"/>
  <c r="G161" i="17"/>
  <c r="G49" i="2" s="1"/>
  <c r="G96" i="2" s="1"/>
  <c r="D135" i="17"/>
  <c r="D16" i="17"/>
  <c r="D17" i="17" s="1"/>
  <c r="E15" i="17"/>
  <c r="N235" i="12"/>
  <c r="O236" i="12"/>
  <c r="K97" i="16"/>
  <c r="M57" i="16"/>
  <c r="L60" i="16"/>
  <c r="J65" i="17"/>
  <c r="J66" i="17" s="1"/>
  <c r="L59" i="16"/>
  <c r="M56" i="16"/>
  <c r="M66" i="16"/>
  <c r="L68" i="16"/>
  <c r="L138" i="2"/>
  <c r="N169" i="2"/>
  <c r="O150" i="2"/>
  <c r="O146" i="2"/>
  <c r="J169" i="16"/>
  <c r="N44" i="16"/>
  <c r="N42" i="16"/>
  <c r="N43" i="16"/>
  <c r="O41" i="16"/>
  <c r="M83" i="2"/>
  <c r="M84" i="2" s="1"/>
  <c r="M159" i="16"/>
  <c r="N38" i="16"/>
  <c r="N29" i="16"/>
  <c r="L165" i="16"/>
  <c r="L126" i="2" s="1"/>
  <c r="L81" i="2"/>
  <c r="N139" i="16"/>
  <c r="M155" i="16"/>
  <c r="K125" i="2"/>
  <c r="K168" i="16"/>
  <c r="L163" i="16"/>
  <c r="L127" i="2" s="1"/>
  <c r="L82" i="2"/>
  <c r="M39" i="16"/>
  <c r="M37" i="16"/>
  <c r="M36" i="16"/>
  <c r="N36" i="16" s="1"/>
  <c r="L160" i="16"/>
  <c r="L128" i="2"/>
  <c r="L166" i="16"/>
  <c r="N151" i="16"/>
  <c r="K129" i="2"/>
  <c r="K167" i="16"/>
  <c r="N137" i="16"/>
  <c r="M153" i="16"/>
  <c r="N32" i="16"/>
  <c r="L79" i="2"/>
  <c r="L162" i="16"/>
  <c r="N26" i="16"/>
  <c r="N138" i="16"/>
  <c r="M164" i="16"/>
  <c r="N136" i="16"/>
  <c r="M152" i="16"/>
  <c r="M35" i="16"/>
  <c r="O28" i="16"/>
  <c r="O141" i="2"/>
  <c r="P99" i="12" l="1"/>
  <c r="P100" i="12" s="1"/>
  <c r="Q91" i="12"/>
  <c r="M47" i="16"/>
  <c r="N69" i="12"/>
  <c r="M79" i="12"/>
  <c r="M80" i="12" s="1"/>
  <c r="M70" i="12"/>
  <c r="D41" i="17"/>
  <c r="D42" i="17" s="1"/>
  <c r="D44" i="17"/>
  <c r="D45" i="17" s="1"/>
  <c r="D46" i="17" s="1"/>
  <c r="D47" i="17" s="1"/>
  <c r="D49" i="17"/>
  <c r="D50" i="17" s="1"/>
  <c r="D51" i="17" s="1"/>
  <c r="D54" i="17"/>
  <c r="D55" i="17" s="1"/>
  <c r="D56" i="17" s="1"/>
  <c r="D57" i="17" s="1"/>
  <c r="D61" i="17" s="1"/>
  <c r="C166" i="17"/>
  <c r="C107" i="17"/>
  <c r="C111" i="17" s="1"/>
  <c r="D139" i="2"/>
  <c r="C168" i="2"/>
  <c r="D91" i="17"/>
  <c r="D92" i="17" s="1"/>
  <c r="D94" i="17"/>
  <c r="D95" i="17" s="1"/>
  <c r="D96" i="17" s="1"/>
  <c r="D97" i="17" s="1"/>
  <c r="D104" i="17"/>
  <c r="D105" i="17" s="1"/>
  <c r="D106" i="17" s="1"/>
  <c r="D99" i="17"/>
  <c r="D100" i="17" s="1"/>
  <c r="D101" i="17" s="1"/>
  <c r="C102" i="17"/>
  <c r="C109" i="17" s="1"/>
  <c r="C110" i="17"/>
  <c r="E90" i="17"/>
  <c r="E91" i="17" s="1"/>
  <c r="E92" i="17" s="1"/>
  <c r="E40" i="17"/>
  <c r="L71" i="12"/>
  <c r="D88" i="2"/>
  <c r="E88" i="2" s="1"/>
  <c r="C52" i="17"/>
  <c r="C59" i="17" s="1"/>
  <c r="C60" i="17"/>
  <c r="L38" i="12"/>
  <c r="L39" i="12" s="1"/>
  <c r="L47" i="12"/>
  <c r="L48" i="12" s="1"/>
  <c r="K26" i="17" s="1"/>
  <c r="K27" i="17" s="1"/>
  <c r="H163" i="17"/>
  <c r="H54" i="2" s="1"/>
  <c r="H101" i="2" s="1"/>
  <c r="J118" i="2"/>
  <c r="M37" i="12"/>
  <c r="M43" i="12"/>
  <c r="N33" i="12"/>
  <c r="L70" i="2"/>
  <c r="L68" i="2"/>
  <c r="L88" i="16"/>
  <c r="L115" i="16" s="1"/>
  <c r="D20" i="17"/>
  <c r="D21" i="17" s="1"/>
  <c r="H161" i="17"/>
  <c r="H49" i="2" s="1"/>
  <c r="H96" i="2" s="1"/>
  <c r="L97" i="16"/>
  <c r="L50" i="16"/>
  <c r="K103" i="16"/>
  <c r="F15" i="17"/>
  <c r="K117" i="2"/>
  <c r="K115" i="2"/>
  <c r="L90" i="16"/>
  <c r="L117" i="16" s="1"/>
  <c r="L98" i="16"/>
  <c r="L123" i="16" s="1"/>
  <c r="I128" i="17"/>
  <c r="H98" i="12"/>
  <c r="I90" i="12"/>
  <c r="P78" i="12"/>
  <c r="Q68" i="12"/>
  <c r="L89" i="16"/>
  <c r="L72" i="2"/>
  <c r="K67" i="2"/>
  <c r="M49" i="16"/>
  <c r="I83" i="17"/>
  <c r="O34" i="12"/>
  <c r="N44" i="12"/>
  <c r="K102" i="16"/>
  <c r="K71" i="2"/>
  <c r="O51" i="12"/>
  <c r="O56" i="12" s="1"/>
  <c r="N57" i="16"/>
  <c r="M60" i="16"/>
  <c r="N58" i="16"/>
  <c r="M61" i="16"/>
  <c r="N67" i="16"/>
  <c r="O65" i="16"/>
  <c r="C144" i="2"/>
  <c r="C156" i="17"/>
  <c r="H145" i="2"/>
  <c r="J119" i="2"/>
  <c r="J109" i="16"/>
  <c r="J125" i="16"/>
  <c r="J71" i="17"/>
  <c r="J87" i="12"/>
  <c r="J92" i="12" s="1"/>
  <c r="I95" i="12"/>
  <c r="M138" i="2"/>
  <c r="M57" i="12"/>
  <c r="L114" i="17"/>
  <c r="L64" i="17"/>
  <c r="E135" i="17"/>
  <c r="E16" i="17"/>
  <c r="E17" i="17" s="1"/>
  <c r="I32" i="17"/>
  <c r="I165" i="17" s="1"/>
  <c r="I59" i="2" s="1"/>
  <c r="I106" i="2" s="1"/>
  <c r="I33" i="17"/>
  <c r="K78" i="17"/>
  <c r="K79" i="17" s="1"/>
  <c r="K80" i="17" s="1"/>
  <c r="K81" i="17" s="1"/>
  <c r="K85" i="17" s="1"/>
  <c r="K167" i="17" s="1"/>
  <c r="K62" i="2" s="1"/>
  <c r="K110" i="2" s="1"/>
  <c r="K68" i="17"/>
  <c r="K69" i="17" s="1"/>
  <c r="K70" i="17" s="1"/>
  <c r="K73" i="17"/>
  <c r="K74" i="17" s="1"/>
  <c r="K75" i="17" s="1"/>
  <c r="K65" i="17"/>
  <c r="K66" i="17" s="1"/>
  <c r="I147" i="17"/>
  <c r="I148" i="17" s="1"/>
  <c r="I155" i="17" s="1"/>
  <c r="W146" i="17"/>
  <c r="G96" i="12"/>
  <c r="H88" i="12"/>
  <c r="I120" i="2"/>
  <c r="I126" i="16"/>
  <c r="I128" i="16" s="1"/>
  <c r="K113" i="16"/>
  <c r="K104" i="16"/>
  <c r="K101" i="16"/>
  <c r="K108" i="16" s="1"/>
  <c r="K74" i="2"/>
  <c r="K76" i="2" s="1"/>
  <c r="J84" i="17"/>
  <c r="J76" i="17"/>
  <c r="G97" i="12"/>
  <c r="H89" i="12"/>
  <c r="C22" i="17"/>
  <c r="C164" i="17" s="1"/>
  <c r="C58" i="2" s="1"/>
  <c r="C105" i="2" s="1"/>
  <c r="C107" i="2" s="1"/>
  <c r="C23" i="17"/>
  <c r="O152" i="17"/>
  <c r="O142" i="17"/>
  <c r="P236" i="12"/>
  <c r="O235" i="12"/>
  <c r="K169" i="16"/>
  <c r="K69" i="2"/>
  <c r="L124" i="16"/>
  <c r="L99" i="16"/>
  <c r="M48" i="16"/>
  <c r="N46" i="16"/>
  <c r="N47" i="16" s="1"/>
  <c r="J30" i="17"/>
  <c r="J31" i="17" s="1"/>
  <c r="J145" i="17"/>
  <c r="R65" i="12"/>
  <c r="Q75" i="12"/>
  <c r="Q225" i="12"/>
  <c r="P224" i="12"/>
  <c r="D137" i="17"/>
  <c r="D138" i="17" s="1"/>
  <c r="D154" i="17" s="1"/>
  <c r="R136" i="17"/>
  <c r="N36" i="12"/>
  <c r="M46" i="12"/>
  <c r="K123" i="17"/>
  <c r="K124" i="17" s="1"/>
  <c r="K125" i="17" s="1"/>
  <c r="K118" i="17"/>
  <c r="K119" i="17" s="1"/>
  <c r="K120" i="17" s="1"/>
  <c r="O76" i="12"/>
  <c r="P66" i="12"/>
  <c r="M68" i="16"/>
  <c r="N66" i="16"/>
  <c r="J121" i="17"/>
  <c r="N146" i="16"/>
  <c r="N154" i="16" s="1"/>
  <c r="O145" i="16"/>
  <c r="J28" i="17"/>
  <c r="J29" i="17"/>
  <c r="N56" i="16"/>
  <c r="M59" i="16"/>
  <c r="D18" i="17"/>
  <c r="D19" i="17"/>
  <c r="L73" i="16"/>
  <c r="L94" i="16" s="1"/>
  <c r="M72" i="16"/>
  <c r="J129" i="17"/>
  <c r="J126" i="17"/>
  <c r="K25" i="17"/>
  <c r="Q35" i="12"/>
  <c r="P45" i="12"/>
  <c r="M23" i="16"/>
  <c r="M90" i="16" s="1"/>
  <c r="M117" i="16" s="1"/>
  <c r="L92" i="16"/>
  <c r="L82" i="16"/>
  <c r="L112" i="16"/>
  <c r="L95" i="16"/>
  <c r="L121" i="16" s="1"/>
  <c r="L83" i="16"/>
  <c r="L111" i="16" s="1"/>
  <c r="L84" i="16"/>
  <c r="L85" i="16"/>
  <c r="L113" i="16" s="1"/>
  <c r="L120" i="16"/>
  <c r="L93" i="16"/>
  <c r="L119" i="16" s="1"/>
  <c r="L75" i="2"/>
  <c r="L87" i="16"/>
  <c r="P67" i="12"/>
  <c r="O77" i="12"/>
  <c r="O169" i="2"/>
  <c r="P150" i="2"/>
  <c r="P146" i="2"/>
  <c r="O43" i="16"/>
  <c r="P41" i="16"/>
  <c r="O42" i="16"/>
  <c r="O44" i="16"/>
  <c r="M128" i="2"/>
  <c r="M166" i="16"/>
  <c r="M160" i="16"/>
  <c r="M162" i="16"/>
  <c r="M79" i="2"/>
  <c r="M163" i="16"/>
  <c r="M127" i="2" s="1"/>
  <c r="M82" i="2"/>
  <c r="N159" i="16"/>
  <c r="N83" i="2"/>
  <c r="N84" i="2" s="1"/>
  <c r="L129" i="2"/>
  <c r="L167" i="16"/>
  <c r="N37" i="16"/>
  <c r="O139" i="16"/>
  <c r="N155" i="16"/>
  <c r="M165" i="16"/>
  <c r="M126" i="2" s="1"/>
  <c r="M81" i="2"/>
  <c r="O30" i="16"/>
  <c r="O27" i="16"/>
  <c r="O136" i="16"/>
  <c r="N152" i="16"/>
  <c r="O26" i="16"/>
  <c r="O137" i="16"/>
  <c r="N153" i="16"/>
  <c r="O151" i="16"/>
  <c r="O38" i="16"/>
  <c r="O36" i="16"/>
  <c r="L168" i="16"/>
  <c r="L125" i="2"/>
  <c r="N39" i="16"/>
  <c r="O32" i="16"/>
  <c r="N35" i="16"/>
  <c r="O138" i="16"/>
  <c r="N164" i="16"/>
  <c r="O31" i="16"/>
  <c r="O29" i="16"/>
  <c r="P141" i="2"/>
  <c r="C115" i="17" l="1"/>
  <c r="C116" i="17" s="1"/>
  <c r="Q99" i="12"/>
  <c r="Q100" i="12" s="1"/>
  <c r="R91" i="12"/>
  <c r="D107" i="17"/>
  <c r="D111" i="17" s="1"/>
  <c r="D166" i="17"/>
  <c r="D60" i="17"/>
  <c r="D52" i="17"/>
  <c r="E99" i="17"/>
  <c r="E100" i="17" s="1"/>
  <c r="E101" i="17" s="1"/>
  <c r="E94" i="17"/>
  <c r="E95" i="17" s="1"/>
  <c r="E96" i="17" s="1"/>
  <c r="E97" i="17" s="1"/>
  <c r="E104" i="17"/>
  <c r="E105" i="17" s="1"/>
  <c r="E106" i="17" s="1"/>
  <c r="F40" i="17"/>
  <c r="M71" i="12"/>
  <c r="F88" i="2" s="1"/>
  <c r="F90" i="17"/>
  <c r="D110" i="17"/>
  <c r="D102" i="17"/>
  <c r="D109" i="17" s="1"/>
  <c r="E49" i="17"/>
  <c r="E50" i="17" s="1"/>
  <c r="E51" i="17" s="1"/>
  <c r="E44" i="17"/>
  <c r="E45" i="17" s="1"/>
  <c r="E46" i="17" s="1"/>
  <c r="E47" i="17" s="1"/>
  <c r="E54" i="17"/>
  <c r="E55" i="17" s="1"/>
  <c r="E56" i="17" s="1"/>
  <c r="E57" i="17" s="1"/>
  <c r="E61" i="17" s="1"/>
  <c r="E41" i="17"/>
  <c r="E42" i="17" s="1"/>
  <c r="E139" i="2"/>
  <c r="D168" i="2"/>
  <c r="C160" i="17"/>
  <c r="C48" i="2" s="1"/>
  <c r="C50" i="2" s="1"/>
  <c r="C51" i="2" s="1"/>
  <c r="C98" i="2" s="1"/>
  <c r="D59" i="17"/>
  <c r="O69" i="12"/>
  <c r="N70" i="12"/>
  <c r="N79" i="12"/>
  <c r="N80" i="12" s="1"/>
  <c r="M38" i="12"/>
  <c r="M39" i="12" s="1"/>
  <c r="M47" i="12"/>
  <c r="M48" i="12" s="1"/>
  <c r="N37" i="12"/>
  <c r="O33" i="12"/>
  <c r="N43" i="12"/>
  <c r="M50" i="16"/>
  <c r="M116" i="16"/>
  <c r="C162" i="17"/>
  <c r="C53" i="2" s="1"/>
  <c r="C100" i="2" s="1"/>
  <c r="C102" i="2" s="1"/>
  <c r="L115" i="2"/>
  <c r="D22" i="17"/>
  <c r="M72" i="2"/>
  <c r="M98" i="16"/>
  <c r="M123" i="16" s="1"/>
  <c r="M88" i="16"/>
  <c r="M115" i="16" s="1"/>
  <c r="I163" i="17"/>
  <c r="I54" i="2" s="1"/>
  <c r="I101" i="2" s="1"/>
  <c r="M68" i="2"/>
  <c r="M89" i="16"/>
  <c r="L103" i="16"/>
  <c r="R68" i="12"/>
  <c r="Q78" i="12"/>
  <c r="L117" i="2"/>
  <c r="J83" i="17"/>
  <c r="L67" i="2"/>
  <c r="D23" i="17"/>
  <c r="J90" i="12"/>
  <c r="I98" i="12"/>
  <c r="M70" i="2"/>
  <c r="L116" i="2"/>
  <c r="E20" i="17"/>
  <c r="E21" i="17" s="1"/>
  <c r="P34" i="12"/>
  <c r="O44" i="12"/>
  <c r="L102" i="16"/>
  <c r="L74" i="2"/>
  <c r="L76" i="2" s="1"/>
  <c r="L127" i="16"/>
  <c r="J128" i="17"/>
  <c r="L71" i="2"/>
  <c r="P145" i="16"/>
  <c r="O146" i="16"/>
  <c r="O154" i="16" s="1"/>
  <c r="J32" i="17"/>
  <c r="J165" i="17" s="1"/>
  <c r="J59" i="2" s="1"/>
  <c r="J106" i="2" s="1"/>
  <c r="J33" i="17"/>
  <c r="S136" i="17"/>
  <c r="E137" i="17"/>
  <c r="E138" i="17" s="1"/>
  <c r="E154" i="17" s="1"/>
  <c r="N57" i="12"/>
  <c r="M64" i="17"/>
  <c r="M114" i="17"/>
  <c r="L101" i="16"/>
  <c r="L108" i="16" s="1"/>
  <c r="K76" i="17"/>
  <c r="K84" i="17"/>
  <c r="N138" i="2"/>
  <c r="P51" i="12"/>
  <c r="P56" i="12" s="1"/>
  <c r="N59" i="16"/>
  <c r="O56" i="16"/>
  <c r="L104" i="16"/>
  <c r="P76" i="12"/>
  <c r="Q66" i="12"/>
  <c r="M73" i="16"/>
  <c r="M94" i="16" s="1"/>
  <c r="N72" i="16"/>
  <c r="K121" i="17"/>
  <c r="P152" i="17"/>
  <c r="P142" i="17"/>
  <c r="I88" i="12"/>
  <c r="H96" i="12"/>
  <c r="K71" i="17"/>
  <c r="L68" i="17"/>
  <c r="L69" i="17" s="1"/>
  <c r="L70" i="17" s="1"/>
  <c r="L78" i="17"/>
  <c r="L79" i="17" s="1"/>
  <c r="L80" i="17" s="1"/>
  <c r="L81" i="17" s="1"/>
  <c r="L85" i="17" s="1"/>
  <c r="L167" i="17" s="1"/>
  <c r="L62" i="2" s="1"/>
  <c r="L110" i="2" s="1"/>
  <c r="L73" i="17"/>
  <c r="L74" i="17" s="1"/>
  <c r="L75" i="17" s="1"/>
  <c r="L65" i="17"/>
  <c r="L66" i="17" s="1"/>
  <c r="J120" i="2"/>
  <c r="J126" i="16"/>
  <c r="J128" i="16" s="1"/>
  <c r="C167" i="2"/>
  <c r="K145" i="17"/>
  <c r="K30" i="17"/>
  <c r="K31" i="17" s="1"/>
  <c r="L69" i="2"/>
  <c r="N23" i="16"/>
  <c r="N97" i="16" s="1"/>
  <c r="M92" i="16"/>
  <c r="M120" i="16"/>
  <c r="M85" i="16"/>
  <c r="M113" i="16" s="1"/>
  <c r="M87" i="16"/>
  <c r="M84" i="16"/>
  <c r="M112" i="16"/>
  <c r="M95" i="16"/>
  <c r="M121" i="16" s="1"/>
  <c r="M93" i="16"/>
  <c r="M119" i="16" s="1"/>
  <c r="M75" i="2"/>
  <c r="M83" i="16"/>
  <c r="M111" i="16" s="1"/>
  <c r="M82" i="16"/>
  <c r="K129" i="17"/>
  <c r="K126" i="17"/>
  <c r="Q224" i="12"/>
  <c r="R225" i="12"/>
  <c r="G15" i="17"/>
  <c r="F135" i="17"/>
  <c r="F16" i="17"/>
  <c r="F17" i="17" s="1"/>
  <c r="L123" i="17"/>
  <c r="L124" i="17" s="1"/>
  <c r="L125" i="17" s="1"/>
  <c r="L118" i="17"/>
  <c r="L119" i="17" s="1"/>
  <c r="L120" i="17" s="1"/>
  <c r="O67" i="16"/>
  <c r="P65" i="16"/>
  <c r="O58" i="16"/>
  <c r="N61" i="16"/>
  <c r="I89" i="12"/>
  <c r="H97" i="12"/>
  <c r="D144" i="2"/>
  <c r="D156" i="17"/>
  <c r="I166" i="2"/>
  <c r="O46" i="16"/>
  <c r="O47" i="16" s="1"/>
  <c r="K119" i="2"/>
  <c r="K109" i="16"/>
  <c r="K125" i="16"/>
  <c r="K87" i="12"/>
  <c r="K92" i="12" s="1"/>
  <c r="J95" i="12"/>
  <c r="J147" i="17"/>
  <c r="J148" i="17" s="1"/>
  <c r="J155" i="17" s="1"/>
  <c r="X146" i="17"/>
  <c r="P77" i="12"/>
  <c r="Q67" i="12"/>
  <c r="R35" i="12"/>
  <c r="Q45" i="12"/>
  <c r="O66" i="16"/>
  <c r="N68" i="16"/>
  <c r="L26" i="17"/>
  <c r="L27" i="17" s="1"/>
  <c r="L25" i="17"/>
  <c r="M97" i="16"/>
  <c r="I145" i="2"/>
  <c r="I161" i="17"/>
  <c r="I49" i="2" s="1"/>
  <c r="I96" i="2" s="1"/>
  <c r="O57" i="16"/>
  <c r="N60" i="16"/>
  <c r="K29" i="17"/>
  <c r="K28" i="17"/>
  <c r="O36" i="12"/>
  <c r="N46" i="12"/>
  <c r="R75" i="12"/>
  <c r="S65" i="12"/>
  <c r="M99" i="16"/>
  <c r="M124" i="16"/>
  <c r="N48" i="16"/>
  <c r="P235" i="12"/>
  <c r="Q236" i="12"/>
  <c r="K127" i="16"/>
  <c r="K116" i="2"/>
  <c r="K118" i="2" s="1"/>
  <c r="E19" i="17"/>
  <c r="E18" i="17"/>
  <c r="N49" i="16"/>
  <c r="Q150" i="2"/>
  <c r="P169" i="2"/>
  <c r="Q146" i="2"/>
  <c r="L169" i="16"/>
  <c r="P44" i="16"/>
  <c r="Q41" i="16"/>
  <c r="P42" i="16"/>
  <c r="P43" i="16"/>
  <c r="P31" i="16"/>
  <c r="Q31" i="16" s="1"/>
  <c r="M129" i="2"/>
  <c r="M167" i="16"/>
  <c r="O37" i="16"/>
  <c r="N79" i="2"/>
  <c r="N162" i="16"/>
  <c r="O39" i="16"/>
  <c r="P136" i="16"/>
  <c r="O152" i="16"/>
  <c r="P29" i="16"/>
  <c r="P26" i="16"/>
  <c r="O159" i="16"/>
  <c r="O83" i="2"/>
  <c r="O84" i="2" s="1"/>
  <c r="P27" i="16"/>
  <c r="Q27" i="16" s="1"/>
  <c r="N165" i="16"/>
  <c r="N126" i="2" s="1"/>
  <c r="N81" i="2"/>
  <c r="M168" i="16"/>
  <c r="M125" i="2"/>
  <c r="P38" i="16"/>
  <c r="P151" i="16"/>
  <c r="P139" i="16"/>
  <c r="O155" i="16"/>
  <c r="N166" i="16"/>
  <c r="N128" i="2"/>
  <c r="N160" i="16"/>
  <c r="P138" i="16"/>
  <c r="O164" i="16"/>
  <c r="P32" i="16"/>
  <c r="O35" i="16"/>
  <c r="N82" i="2"/>
  <c r="N163" i="16"/>
  <c r="N127" i="2" s="1"/>
  <c r="P28" i="16"/>
  <c r="Q28" i="16" s="1"/>
  <c r="P137" i="16"/>
  <c r="O153" i="16"/>
  <c r="P30" i="16"/>
  <c r="Q30" i="16" s="1"/>
  <c r="Q141" i="2"/>
  <c r="R99" i="12" l="1"/>
  <c r="R100" i="12" s="1"/>
  <c r="S91" i="12"/>
  <c r="C97" i="2"/>
  <c r="C160" i="2" s="1"/>
  <c r="D115" i="17"/>
  <c r="D116" i="17" s="1"/>
  <c r="D164" i="17"/>
  <c r="D58" i="2" s="1"/>
  <c r="D105" i="2" s="1"/>
  <c r="D107" i="2" s="1"/>
  <c r="E107" i="17"/>
  <c r="E111" i="17" s="1"/>
  <c r="E166" i="17"/>
  <c r="P69" i="12"/>
  <c r="O70" i="12"/>
  <c r="O79" i="12"/>
  <c r="O80" i="12" s="1"/>
  <c r="E102" i="17"/>
  <c r="E109" i="17" s="1"/>
  <c r="E110" i="17"/>
  <c r="E60" i="17"/>
  <c r="E52" i="17"/>
  <c r="E59" i="17" s="1"/>
  <c r="F139" i="2"/>
  <c r="E168" i="2"/>
  <c r="F91" i="17"/>
  <c r="F92" i="17" s="1"/>
  <c r="F104" i="17"/>
  <c r="F105" i="17" s="1"/>
  <c r="F106" i="17" s="1"/>
  <c r="F107" i="17" s="1"/>
  <c r="F99" i="17"/>
  <c r="F100" i="17" s="1"/>
  <c r="F101" i="17" s="1"/>
  <c r="F102" i="17" s="1"/>
  <c r="F94" i="17"/>
  <c r="F95" i="17" s="1"/>
  <c r="F96" i="17" s="1"/>
  <c r="D162" i="17"/>
  <c r="D53" i="2" s="1"/>
  <c r="D100" i="2" s="1"/>
  <c r="D102" i="2" s="1"/>
  <c r="G90" i="17"/>
  <c r="N71" i="12"/>
  <c r="G88" i="2" s="1"/>
  <c r="G40" i="17"/>
  <c r="F41" i="17"/>
  <c r="F42" i="17" s="1"/>
  <c r="F44" i="17"/>
  <c r="F45" i="17" s="1"/>
  <c r="F46" i="17" s="1"/>
  <c r="F47" i="17" s="1"/>
  <c r="F49" i="17"/>
  <c r="F50" i="17" s="1"/>
  <c r="F51" i="17" s="1"/>
  <c r="F60" i="17" s="1"/>
  <c r="F54" i="17"/>
  <c r="F55" i="17" s="1"/>
  <c r="F56" i="17" s="1"/>
  <c r="F57" i="17" s="1"/>
  <c r="F61" i="17" s="1"/>
  <c r="N38" i="12"/>
  <c r="N39" i="12" s="1"/>
  <c r="N47" i="12"/>
  <c r="N48" i="12" s="1"/>
  <c r="E22" i="17"/>
  <c r="E164" i="17" s="1"/>
  <c r="E58" i="2" s="1"/>
  <c r="E105" i="2" s="1"/>
  <c r="E107" i="2" s="1"/>
  <c r="L118" i="2"/>
  <c r="O37" i="12"/>
  <c r="P33" i="12"/>
  <c r="O43" i="12"/>
  <c r="D160" i="17"/>
  <c r="D48" i="2" s="1"/>
  <c r="D50" i="2" s="1"/>
  <c r="D51" i="2" s="1"/>
  <c r="D98" i="2" s="1"/>
  <c r="E23" i="17"/>
  <c r="C55" i="2"/>
  <c r="C56" i="2" s="1"/>
  <c r="C103" i="2" s="1"/>
  <c r="C154" i="2" s="1"/>
  <c r="N68" i="2"/>
  <c r="N90" i="16"/>
  <c r="N117" i="16" s="1"/>
  <c r="N89" i="16"/>
  <c r="N88" i="16"/>
  <c r="N115" i="16" s="1"/>
  <c r="M71" i="2"/>
  <c r="J163" i="17"/>
  <c r="J54" i="2" s="1"/>
  <c r="J101" i="2" s="1"/>
  <c r="N70" i="2"/>
  <c r="M117" i="2"/>
  <c r="M116" i="2"/>
  <c r="H15" i="17"/>
  <c r="H135" i="17" s="1"/>
  <c r="J161" i="17"/>
  <c r="J49" i="2" s="1"/>
  <c r="J96" i="2" s="1"/>
  <c r="N98" i="16"/>
  <c r="N123" i="16" s="1"/>
  <c r="N116" i="16"/>
  <c r="K90" i="12"/>
  <c r="J98" i="12"/>
  <c r="M115" i="2"/>
  <c r="K83" i="17"/>
  <c r="K128" i="17"/>
  <c r="P44" i="12"/>
  <c r="Q34" i="12"/>
  <c r="R78" i="12"/>
  <c r="S68" i="12"/>
  <c r="L145" i="17"/>
  <c r="L30" i="17"/>
  <c r="L31" i="17" s="1"/>
  <c r="R224" i="12"/>
  <c r="S225" i="12"/>
  <c r="Y146" i="17"/>
  <c r="K147" i="17"/>
  <c r="K148" i="17" s="1"/>
  <c r="K155" i="17" s="1"/>
  <c r="P46" i="16"/>
  <c r="P47" i="16" s="1"/>
  <c r="P58" i="16"/>
  <c r="O61" i="16"/>
  <c r="T136" i="17"/>
  <c r="F137" i="17"/>
  <c r="F138" i="17" s="1"/>
  <c r="F154" i="17" s="1"/>
  <c r="L76" i="17"/>
  <c r="L84" i="17"/>
  <c r="I96" i="12"/>
  <c r="J88" i="12"/>
  <c r="M123" i="17"/>
  <c r="M124" i="17" s="1"/>
  <c r="M125" i="17" s="1"/>
  <c r="M118" i="17"/>
  <c r="M119" i="17" s="1"/>
  <c r="M120" i="17" s="1"/>
  <c r="Q145" i="16"/>
  <c r="P146" i="16"/>
  <c r="P154" i="16" s="1"/>
  <c r="O48" i="16"/>
  <c r="N99" i="16"/>
  <c r="N124" i="16"/>
  <c r="M74" i="2"/>
  <c r="M76" i="2" s="1"/>
  <c r="M101" i="16"/>
  <c r="M108" i="16" s="1"/>
  <c r="F20" i="17"/>
  <c r="F21" i="17" s="1"/>
  <c r="N50" i="16"/>
  <c r="T65" i="12"/>
  <c r="S75" i="12"/>
  <c r="P66" i="16"/>
  <c r="O68" i="16"/>
  <c r="Q65" i="16"/>
  <c r="P67" i="16"/>
  <c r="G135" i="17"/>
  <c r="G16" i="17"/>
  <c r="G17" i="17" s="1"/>
  <c r="N73" i="16"/>
  <c r="N94" i="16" s="1"/>
  <c r="O72" i="16"/>
  <c r="N64" i="17"/>
  <c r="N114" i="17"/>
  <c r="O57" i="12"/>
  <c r="M73" i="17"/>
  <c r="M74" i="17" s="1"/>
  <c r="M75" i="17" s="1"/>
  <c r="M78" i="17"/>
  <c r="M79" i="17" s="1"/>
  <c r="M80" i="17" s="1"/>
  <c r="M81" i="17" s="1"/>
  <c r="M85" i="17" s="1"/>
  <c r="M167" i="17" s="1"/>
  <c r="M62" i="2" s="1"/>
  <c r="M110" i="2" s="1"/>
  <c r="M68" i="17"/>
  <c r="M69" i="17" s="1"/>
  <c r="M70" i="17" s="1"/>
  <c r="M65" i="17"/>
  <c r="M66" i="17" s="1"/>
  <c r="L119" i="2"/>
  <c r="L109" i="16"/>
  <c r="L125" i="16"/>
  <c r="L29" i="17"/>
  <c r="L28" i="17"/>
  <c r="N72" i="2"/>
  <c r="M67" i="2"/>
  <c r="M104" i="16"/>
  <c r="K95" i="12"/>
  <c r="L87" i="12"/>
  <c r="L92" i="12" s="1"/>
  <c r="O23" i="16"/>
  <c r="O97" i="16" s="1"/>
  <c r="N82" i="16"/>
  <c r="N92" i="16"/>
  <c r="N75" i="2"/>
  <c r="N85" i="16"/>
  <c r="N113" i="16" s="1"/>
  <c r="N93" i="16"/>
  <c r="N119" i="16" s="1"/>
  <c r="N83" i="16"/>
  <c r="N111" i="16" s="1"/>
  <c r="N120" i="16"/>
  <c r="N87" i="16"/>
  <c r="N95" i="16"/>
  <c r="N121" i="16" s="1"/>
  <c r="N84" i="16"/>
  <c r="N112" i="16"/>
  <c r="L71" i="17"/>
  <c r="Q51" i="12"/>
  <c r="Q56" i="12" s="1"/>
  <c r="P57" i="16"/>
  <c r="O60" i="16"/>
  <c r="Q152" i="17"/>
  <c r="Q142" i="17"/>
  <c r="J145" i="2"/>
  <c r="D167" i="2"/>
  <c r="J166" i="2"/>
  <c r="F97" i="17"/>
  <c r="E144" i="2"/>
  <c r="E156" i="17"/>
  <c r="P36" i="12"/>
  <c r="O46" i="12"/>
  <c r="S35" i="12"/>
  <c r="R45" i="12"/>
  <c r="F18" i="17"/>
  <c r="F19" i="17"/>
  <c r="M127" i="16"/>
  <c r="M103" i="16"/>
  <c r="O49" i="16"/>
  <c r="Q235" i="12"/>
  <c r="R236" i="12"/>
  <c r="K120" i="2"/>
  <c r="K126" i="16"/>
  <c r="K128" i="16" s="1"/>
  <c r="L121" i="17"/>
  <c r="Q76" i="12"/>
  <c r="R66" i="12"/>
  <c r="R67" i="12"/>
  <c r="Q77" i="12"/>
  <c r="P56" i="16"/>
  <c r="O59" i="16"/>
  <c r="M69" i="2"/>
  <c r="M102" i="16"/>
  <c r="M26" i="17"/>
  <c r="M27" i="17" s="1"/>
  <c r="M25" i="17"/>
  <c r="J89" i="12"/>
  <c r="I97" i="12"/>
  <c r="L126" i="17"/>
  <c r="L129" i="17"/>
  <c r="K33" i="17"/>
  <c r="K32" i="17"/>
  <c r="K165" i="17" s="1"/>
  <c r="K59" i="2" s="1"/>
  <c r="K106" i="2" s="1"/>
  <c r="O138" i="2"/>
  <c r="R150" i="2"/>
  <c r="Q169" i="2"/>
  <c r="R146" i="2"/>
  <c r="M169" i="16"/>
  <c r="R41" i="16"/>
  <c r="Q43" i="16"/>
  <c r="Q44" i="16"/>
  <c r="Q42" i="16"/>
  <c r="Q136" i="16"/>
  <c r="P152" i="16"/>
  <c r="P37" i="16"/>
  <c r="P39" i="16"/>
  <c r="P36" i="16"/>
  <c r="P35" i="16"/>
  <c r="Q139" i="16"/>
  <c r="P155" i="16"/>
  <c r="N125" i="2"/>
  <c r="N168" i="16"/>
  <c r="P159" i="16"/>
  <c r="P83" i="2"/>
  <c r="P84" i="2" s="1"/>
  <c r="Q137" i="16"/>
  <c r="P153" i="16"/>
  <c r="Q29" i="16"/>
  <c r="O165" i="16"/>
  <c r="O126" i="2" s="1"/>
  <c r="O81" i="2"/>
  <c r="Q32" i="16"/>
  <c r="Q151" i="16"/>
  <c r="R27" i="16"/>
  <c r="O128" i="2"/>
  <c r="O166" i="16"/>
  <c r="O160" i="16"/>
  <c r="Q26" i="16"/>
  <c r="N129" i="2"/>
  <c r="N167" i="16"/>
  <c r="Q138" i="16"/>
  <c r="P164" i="16"/>
  <c r="O82" i="2"/>
  <c r="O163" i="16"/>
  <c r="O127" i="2" s="1"/>
  <c r="O79" i="2"/>
  <c r="O162" i="16"/>
  <c r="R141" i="2"/>
  <c r="E115" i="17" l="1"/>
  <c r="E116" i="17" s="1"/>
  <c r="F111" i="17"/>
  <c r="T91" i="12"/>
  <c r="S99" i="12"/>
  <c r="S100" i="12" s="1"/>
  <c r="C165" i="2"/>
  <c r="C171" i="2" s="1"/>
  <c r="D55" i="2"/>
  <c r="D56" i="2" s="1"/>
  <c r="D103" i="2" s="1"/>
  <c r="D161" i="2" s="1"/>
  <c r="F52" i="17"/>
  <c r="F110" i="17"/>
  <c r="G110" i="17" s="1"/>
  <c r="G54" i="17"/>
  <c r="G55" i="17" s="1"/>
  <c r="G56" i="17" s="1"/>
  <c r="G57" i="17" s="1"/>
  <c r="G61" i="17" s="1"/>
  <c r="G44" i="17"/>
  <c r="G45" i="17" s="1"/>
  <c r="G46" i="17" s="1"/>
  <c r="G41" i="17"/>
  <c r="G42" i="17" s="1"/>
  <c r="G49" i="17"/>
  <c r="G50" i="17" s="1"/>
  <c r="G51" i="17" s="1"/>
  <c r="Q69" i="12"/>
  <c r="P70" i="12"/>
  <c r="P79" i="12"/>
  <c r="P80" i="12" s="1"/>
  <c r="F166" i="17"/>
  <c r="E162" i="17"/>
  <c r="E53" i="2" s="1"/>
  <c r="E100" i="2" s="1"/>
  <c r="E102" i="2" s="1"/>
  <c r="G91" i="17"/>
  <c r="G92" i="17" s="1"/>
  <c r="G104" i="17"/>
  <c r="G105" i="17" s="1"/>
  <c r="G106" i="17" s="1"/>
  <c r="G99" i="17"/>
  <c r="G100" i="17" s="1"/>
  <c r="G101" i="17" s="1"/>
  <c r="G94" i="17"/>
  <c r="G95" i="17" s="1"/>
  <c r="G96" i="17" s="1"/>
  <c r="G97" i="17" s="1"/>
  <c r="G139" i="2"/>
  <c r="F168" i="2"/>
  <c r="H90" i="17"/>
  <c r="O71" i="12"/>
  <c r="H88" i="2" s="1"/>
  <c r="H40" i="17"/>
  <c r="F22" i="17"/>
  <c r="O90" i="16"/>
  <c r="O117" i="16" s="1"/>
  <c r="O38" i="12"/>
  <c r="O39" i="12" s="1"/>
  <c r="O47" i="12"/>
  <c r="O48" i="12" s="1"/>
  <c r="N26" i="17" s="1"/>
  <c r="N27" i="17" s="1"/>
  <c r="E160" i="17"/>
  <c r="E48" i="2" s="1"/>
  <c r="E95" i="2" s="1"/>
  <c r="E97" i="2" s="1"/>
  <c r="D95" i="2"/>
  <c r="D97" i="2" s="1"/>
  <c r="D165" i="2" s="1"/>
  <c r="D171" i="2" s="1"/>
  <c r="P37" i="12"/>
  <c r="P43" i="12"/>
  <c r="Q33" i="12"/>
  <c r="M118" i="2"/>
  <c r="C161" i="2"/>
  <c r="C162" i="2"/>
  <c r="C156" i="2"/>
  <c r="C155" i="2"/>
  <c r="L83" i="17"/>
  <c r="F23" i="17"/>
  <c r="H16" i="17"/>
  <c r="H17" i="17" s="1"/>
  <c r="F59" i="17"/>
  <c r="K163" i="17"/>
  <c r="K54" i="2" s="1"/>
  <c r="K101" i="2" s="1"/>
  <c r="L128" i="17"/>
  <c r="N117" i="2"/>
  <c r="D154" i="2"/>
  <c r="D162" i="2" s="1"/>
  <c r="O89" i="16"/>
  <c r="I15" i="17"/>
  <c r="I135" i="17" s="1"/>
  <c r="N127" i="16"/>
  <c r="K161" i="17"/>
  <c r="K49" i="2" s="1"/>
  <c r="K96" i="2" s="1"/>
  <c r="R34" i="12"/>
  <c r="Q44" i="12"/>
  <c r="O72" i="2"/>
  <c r="N115" i="2"/>
  <c r="O116" i="16"/>
  <c r="O98" i="16"/>
  <c r="O123" i="16" s="1"/>
  <c r="F109" i="17"/>
  <c r="N116" i="2"/>
  <c r="O68" i="2"/>
  <c r="O88" i="16"/>
  <c r="O115" i="16" s="1"/>
  <c r="P49" i="16"/>
  <c r="T68" i="12"/>
  <c r="S78" i="12"/>
  <c r="L90" i="12"/>
  <c r="K98" i="12"/>
  <c r="N71" i="2"/>
  <c r="N103" i="16"/>
  <c r="M126" i="17"/>
  <c r="M129" i="17"/>
  <c r="Q56" i="16"/>
  <c r="P59" i="16"/>
  <c r="M87" i="12"/>
  <c r="M92" i="12" s="1"/>
  <c r="L95" i="12"/>
  <c r="Q66" i="16"/>
  <c r="P68" i="16"/>
  <c r="O64" i="17"/>
  <c r="P57" i="12"/>
  <c r="O114" i="17"/>
  <c r="G19" i="17"/>
  <c r="G18" i="17"/>
  <c r="K145" i="2"/>
  <c r="P72" i="16"/>
  <c r="O73" i="16"/>
  <c r="O94" i="16" s="1"/>
  <c r="J96" i="12"/>
  <c r="K88" i="12"/>
  <c r="N102" i="16"/>
  <c r="K89" i="12"/>
  <c r="J97" i="12"/>
  <c r="S67" i="12"/>
  <c r="R77" i="12"/>
  <c r="G107" i="17"/>
  <c r="G111" i="17" s="1"/>
  <c r="G166" i="17"/>
  <c r="R51" i="12"/>
  <c r="R56" i="12" s="1"/>
  <c r="N74" i="2"/>
  <c r="N76" i="2" s="1"/>
  <c r="N101" i="16"/>
  <c r="N108" i="16" s="1"/>
  <c r="L120" i="2"/>
  <c r="L166" i="2" s="1"/>
  <c r="L126" i="16"/>
  <c r="L128" i="16" s="1"/>
  <c r="M84" i="17"/>
  <c r="M76" i="17"/>
  <c r="G20" i="17"/>
  <c r="G21" i="17" s="1"/>
  <c r="O124" i="16"/>
  <c r="P48" i="16"/>
  <c r="O99" i="16"/>
  <c r="F144" i="2"/>
  <c r="F156" i="17"/>
  <c r="Z146" i="17"/>
  <c r="L147" i="17"/>
  <c r="L148" i="17" s="1"/>
  <c r="L155" i="17" s="1"/>
  <c r="K166" i="2"/>
  <c r="N67" i="2"/>
  <c r="G52" i="17"/>
  <c r="G60" i="17"/>
  <c r="M71" i="17"/>
  <c r="N69" i="2"/>
  <c r="M145" i="17"/>
  <c r="M30" i="17"/>
  <c r="M31" i="17" s="1"/>
  <c r="E167" i="2"/>
  <c r="P23" i="16"/>
  <c r="P97" i="16" s="1"/>
  <c r="O82" i="16"/>
  <c r="O92" i="16"/>
  <c r="O83" i="16"/>
  <c r="O111" i="16" s="1"/>
  <c r="O87" i="16"/>
  <c r="O84" i="16"/>
  <c r="O95" i="16"/>
  <c r="O121" i="16" s="1"/>
  <c r="O120" i="16"/>
  <c r="O112" i="16"/>
  <c r="O85" i="16"/>
  <c r="O113" i="16" s="1"/>
  <c r="O93" i="16"/>
  <c r="O119" i="16" s="1"/>
  <c r="U136" i="17"/>
  <c r="G137" i="17"/>
  <c r="G138" i="17" s="1"/>
  <c r="G154" i="17" s="1"/>
  <c r="G47" i="17"/>
  <c r="M109" i="16"/>
  <c r="M119" i="2"/>
  <c r="M125" i="16"/>
  <c r="T225" i="12"/>
  <c r="S224" i="12"/>
  <c r="Q36" i="12"/>
  <c r="P46" i="12"/>
  <c r="T75" i="12"/>
  <c r="U65" i="12"/>
  <c r="V136" i="17"/>
  <c r="Q57" i="16"/>
  <c r="P60" i="16"/>
  <c r="Q46" i="16"/>
  <c r="Q47" i="16" s="1"/>
  <c r="O70" i="2"/>
  <c r="N104" i="16"/>
  <c r="M29" i="17"/>
  <c r="M28" i="17"/>
  <c r="T35" i="12"/>
  <c r="S45" i="12"/>
  <c r="G102" i="17"/>
  <c r="N123" i="17"/>
  <c r="N124" i="17" s="1"/>
  <c r="N125" i="17" s="1"/>
  <c r="N118" i="17"/>
  <c r="N119" i="17" s="1"/>
  <c r="N120" i="17" s="1"/>
  <c r="Q146" i="16"/>
  <c r="Q154" i="16" s="1"/>
  <c r="R145" i="16"/>
  <c r="R152" i="17"/>
  <c r="R142" i="17"/>
  <c r="O50" i="16"/>
  <c r="P138" i="2"/>
  <c r="R76" i="12"/>
  <c r="S66" i="12"/>
  <c r="R235" i="12"/>
  <c r="S236" i="12"/>
  <c r="O75" i="2"/>
  <c r="N73" i="17"/>
  <c r="N74" i="17" s="1"/>
  <c r="N75" i="17" s="1"/>
  <c r="N78" i="17"/>
  <c r="N79" i="17" s="1"/>
  <c r="N80" i="17" s="1"/>
  <c r="N81" i="17" s="1"/>
  <c r="N85" i="17" s="1"/>
  <c r="N167" i="17" s="1"/>
  <c r="N62" i="2" s="1"/>
  <c r="N110" i="2" s="1"/>
  <c r="N68" i="17"/>
  <c r="N69" i="17" s="1"/>
  <c r="N70" i="17" s="1"/>
  <c r="N65" i="17"/>
  <c r="N66" i="17" s="1"/>
  <c r="Q67" i="16"/>
  <c r="R65" i="16"/>
  <c r="M121" i="17"/>
  <c r="Q58" i="16"/>
  <c r="P61" i="16"/>
  <c r="L33" i="17"/>
  <c r="L32" i="17"/>
  <c r="L165" i="17" s="1"/>
  <c r="L59" i="2" s="1"/>
  <c r="L106" i="2" s="1"/>
  <c r="S150" i="2"/>
  <c r="R169" i="2"/>
  <c r="S146" i="2"/>
  <c r="N169" i="16"/>
  <c r="R44" i="16"/>
  <c r="R42" i="16"/>
  <c r="R43" i="16"/>
  <c r="S41" i="16"/>
  <c r="P82" i="2"/>
  <c r="P163" i="16"/>
  <c r="P127" i="2" s="1"/>
  <c r="P81" i="2"/>
  <c r="P165" i="16"/>
  <c r="P126" i="2" s="1"/>
  <c r="Q35" i="16"/>
  <c r="R139" i="16"/>
  <c r="Q155" i="16"/>
  <c r="Q36" i="16"/>
  <c r="Q37" i="16"/>
  <c r="R137" i="16"/>
  <c r="Q153" i="16"/>
  <c r="R138" i="16"/>
  <c r="Q164" i="16"/>
  <c r="Q159" i="16"/>
  <c r="Q83" i="2"/>
  <c r="Q84" i="2" s="1"/>
  <c r="R30" i="16"/>
  <c r="S30" i="16" s="1"/>
  <c r="P166" i="16"/>
  <c r="P128" i="2"/>
  <c r="P160" i="16"/>
  <c r="R29" i="16"/>
  <c r="O125" i="2"/>
  <c r="O168" i="16"/>
  <c r="R151" i="16"/>
  <c r="R28" i="16"/>
  <c r="S28" i="16" s="1"/>
  <c r="P162" i="16"/>
  <c r="P79" i="2"/>
  <c r="S27" i="16"/>
  <c r="O129" i="2"/>
  <c r="O167" i="16"/>
  <c r="Q39" i="16"/>
  <c r="R136" i="16"/>
  <c r="Q152" i="16"/>
  <c r="R26" i="16"/>
  <c r="R31" i="16"/>
  <c r="S31" i="16" s="1"/>
  <c r="R32" i="16"/>
  <c r="Q38" i="16"/>
  <c r="R38" i="16" s="1"/>
  <c r="S141" i="2"/>
  <c r="F115" i="17" l="1"/>
  <c r="F116" i="17" s="1"/>
  <c r="F164" i="17"/>
  <c r="F58" i="2" s="1"/>
  <c r="F105" i="2" s="1"/>
  <c r="F107" i="2" s="1"/>
  <c r="U91" i="12"/>
  <c r="T99" i="12"/>
  <c r="T100" i="12" s="1"/>
  <c r="D160" i="2"/>
  <c r="D159" i="2" s="1"/>
  <c r="E55" i="2"/>
  <c r="E56" i="2" s="1"/>
  <c r="E103" i="2" s="1"/>
  <c r="E50" i="2"/>
  <c r="E51" i="2" s="1"/>
  <c r="E98" i="2" s="1"/>
  <c r="E154" i="2" s="1"/>
  <c r="E162" i="2" s="1"/>
  <c r="N25" i="17"/>
  <c r="H139" i="2"/>
  <c r="G168" i="2"/>
  <c r="I40" i="17"/>
  <c r="I90" i="17"/>
  <c r="P71" i="12"/>
  <c r="I88" i="2" s="1"/>
  <c r="R69" i="12"/>
  <c r="Q70" i="12"/>
  <c r="Q79" i="12"/>
  <c r="Q80" i="12" s="1"/>
  <c r="H41" i="17"/>
  <c r="H42" i="17" s="1"/>
  <c r="H49" i="17"/>
  <c r="H50" i="17" s="1"/>
  <c r="H51" i="17" s="1"/>
  <c r="H44" i="17"/>
  <c r="H45" i="17" s="1"/>
  <c r="H46" i="17" s="1"/>
  <c r="H54" i="17"/>
  <c r="H55" i="17" s="1"/>
  <c r="H56" i="17" s="1"/>
  <c r="H57" i="17" s="1"/>
  <c r="H61" i="17" s="1"/>
  <c r="H91" i="17"/>
  <c r="H92" i="17" s="1"/>
  <c r="H104" i="17"/>
  <c r="H105" i="17" s="1"/>
  <c r="H106" i="17" s="1"/>
  <c r="H166" i="17" s="1"/>
  <c r="H94" i="17"/>
  <c r="H95" i="17" s="1"/>
  <c r="H96" i="17" s="1"/>
  <c r="H97" i="17" s="1"/>
  <c r="H99" i="17"/>
  <c r="H100" i="17" s="1"/>
  <c r="H101" i="17" s="1"/>
  <c r="H102" i="17" s="1"/>
  <c r="O116" i="2"/>
  <c r="P38" i="12"/>
  <c r="P39" i="12" s="1"/>
  <c r="P47" i="12"/>
  <c r="P48" i="12" s="1"/>
  <c r="D156" i="2"/>
  <c r="P70" i="2"/>
  <c r="L163" i="17"/>
  <c r="L54" i="2" s="1"/>
  <c r="L101" i="2" s="1"/>
  <c r="C159" i="2"/>
  <c r="P90" i="16"/>
  <c r="P117" i="16" s="1"/>
  <c r="Q37" i="12"/>
  <c r="R33" i="12"/>
  <c r="Q43" i="12"/>
  <c r="P72" i="2"/>
  <c r="D155" i="2"/>
  <c r="M128" i="17"/>
  <c r="G23" i="17"/>
  <c r="H20" i="17"/>
  <c r="H21" i="17" s="1"/>
  <c r="H18" i="17"/>
  <c r="I16" i="17"/>
  <c r="I17" i="17" s="1"/>
  <c r="P116" i="16"/>
  <c r="O104" i="16"/>
  <c r="O69" i="2"/>
  <c r="G59" i="17"/>
  <c r="P50" i="16"/>
  <c r="O115" i="2"/>
  <c r="N118" i="2"/>
  <c r="P89" i="16"/>
  <c r="O74" i="2"/>
  <c r="O76" i="2" s="1"/>
  <c r="P68" i="2"/>
  <c r="P98" i="16"/>
  <c r="P123" i="16" s="1"/>
  <c r="O67" i="2"/>
  <c r="G22" i="17"/>
  <c r="G164" i="17" s="1"/>
  <c r="G58" i="2" s="1"/>
  <c r="G105" i="2" s="1"/>
  <c r="G107" i="2" s="1"/>
  <c r="M83" i="17"/>
  <c r="P88" i="16"/>
  <c r="P115" i="16" s="1"/>
  <c r="G109" i="17"/>
  <c r="G115" i="17" s="1"/>
  <c r="G116" i="17" s="1"/>
  <c r="F160" i="17"/>
  <c r="F48" i="2" s="1"/>
  <c r="F95" i="2" s="1"/>
  <c r="F97" i="2" s="1"/>
  <c r="O71" i="2"/>
  <c r="M90" i="12"/>
  <c r="L98" i="12"/>
  <c r="O103" i="16"/>
  <c r="L161" i="17"/>
  <c r="L49" i="2" s="1"/>
  <c r="L96" i="2" s="1"/>
  <c r="O117" i="2"/>
  <c r="F162" i="17"/>
  <c r="F53" i="2" s="1"/>
  <c r="F100" i="2" s="1"/>
  <c r="F102" i="2" s="1"/>
  <c r="U68" i="12"/>
  <c r="T78" i="12"/>
  <c r="O127" i="16"/>
  <c r="H137" i="17"/>
  <c r="H138" i="17" s="1"/>
  <c r="H154" i="17" s="1"/>
  <c r="H156" i="17" s="1"/>
  <c r="R44" i="12"/>
  <c r="S34" i="12"/>
  <c r="L145" i="2"/>
  <c r="P114" i="17"/>
  <c r="Q57" i="12"/>
  <c r="P64" i="17"/>
  <c r="E160" i="2"/>
  <c r="E165" i="2"/>
  <c r="E171" i="2" s="1"/>
  <c r="R36" i="12"/>
  <c r="Q46" i="12"/>
  <c r="N71" i="17"/>
  <c r="U35" i="12"/>
  <c r="T45" i="12"/>
  <c r="F167" i="2"/>
  <c r="S51" i="12"/>
  <c r="S56" i="12" s="1"/>
  <c r="T67" i="12"/>
  <c r="S77" i="12"/>
  <c r="P73" i="16"/>
  <c r="P94" i="16" s="1"/>
  <c r="Q72" i="16"/>
  <c r="R58" i="16"/>
  <c r="Q61" i="16"/>
  <c r="S145" i="16"/>
  <c r="R146" i="16"/>
  <c r="R154" i="16" s="1"/>
  <c r="S76" i="12"/>
  <c r="T66" i="12"/>
  <c r="M126" i="16"/>
  <c r="M128" i="16" s="1"/>
  <c r="M120" i="2"/>
  <c r="M33" i="17"/>
  <c r="M32" i="17"/>
  <c r="M165" i="17" s="1"/>
  <c r="M59" i="2" s="1"/>
  <c r="M106" i="2" s="1"/>
  <c r="K97" i="12"/>
  <c r="L89" i="12"/>
  <c r="O123" i="17"/>
  <c r="O124" i="17" s="1"/>
  <c r="O125" i="17" s="1"/>
  <c r="O118" i="17"/>
  <c r="O119" i="17" s="1"/>
  <c r="O120" i="17" s="1"/>
  <c r="Q59" i="16"/>
  <c r="R56" i="16"/>
  <c r="T236" i="12"/>
  <c r="S235" i="12"/>
  <c r="N121" i="17"/>
  <c r="Q49" i="16"/>
  <c r="R46" i="16"/>
  <c r="R47" i="16" s="1"/>
  <c r="V65" i="12"/>
  <c r="U75" i="12"/>
  <c r="S152" i="17"/>
  <c r="S142" i="17"/>
  <c r="O101" i="16"/>
  <c r="O108" i="16" s="1"/>
  <c r="AA146" i="17"/>
  <c r="M147" i="17"/>
  <c r="M148" i="17" s="1"/>
  <c r="M155" i="17" s="1"/>
  <c r="H110" i="17"/>
  <c r="N145" i="17"/>
  <c r="N30" i="17"/>
  <c r="N31" i="17" s="1"/>
  <c r="P124" i="16"/>
  <c r="P99" i="16"/>
  <c r="Q48" i="16"/>
  <c r="K96" i="12"/>
  <c r="L88" i="12"/>
  <c r="Q68" i="16"/>
  <c r="R66" i="16"/>
  <c r="N76" i="17"/>
  <c r="N84" i="17"/>
  <c r="N129" i="17"/>
  <c r="N126" i="17"/>
  <c r="U225" i="12"/>
  <c r="T224" i="12"/>
  <c r="Q23" i="16"/>
  <c r="Q90" i="16" s="1"/>
  <c r="Q117" i="16" s="1"/>
  <c r="P92" i="16"/>
  <c r="P93" i="16"/>
  <c r="P119" i="16" s="1"/>
  <c r="P82" i="16"/>
  <c r="P95" i="16"/>
  <c r="P121" i="16" s="1"/>
  <c r="P112" i="16"/>
  <c r="P85" i="16"/>
  <c r="P113" i="16" s="1"/>
  <c r="P87" i="16"/>
  <c r="P120" i="16"/>
  <c r="P83" i="16"/>
  <c r="P111" i="16" s="1"/>
  <c r="P84" i="16"/>
  <c r="P75" i="2"/>
  <c r="N29" i="17"/>
  <c r="N28" i="17"/>
  <c r="J15" i="17"/>
  <c r="O73" i="17"/>
  <c r="O74" i="17" s="1"/>
  <c r="O75" i="17" s="1"/>
  <c r="O78" i="17"/>
  <c r="O79" i="17" s="1"/>
  <c r="O80" i="17" s="1"/>
  <c r="O81" i="17" s="1"/>
  <c r="O85" i="17" s="1"/>
  <c r="O167" i="17" s="1"/>
  <c r="O62" i="2" s="1"/>
  <c r="O110" i="2" s="1"/>
  <c r="O68" i="17"/>
  <c r="O69" i="17" s="1"/>
  <c r="O70" i="17" s="1"/>
  <c r="O65" i="17"/>
  <c r="O66" i="17" s="1"/>
  <c r="H47" i="17"/>
  <c r="N87" i="12"/>
  <c r="N92" i="12" s="1"/>
  <c r="M95" i="12"/>
  <c r="O25" i="17"/>
  <c r="O26" i="17"/>
  <c r="O27" i="17" s="1"/>
  <c r="W136" i="17"/>
  <c r="O102" i="16"/>
  <c r="H19" i="17"/>
  <c r="R67" i="16"/>
  <c r="S65" i="16"/>
  <c r="Q138" i="2"/>
  <c r="R57" i="16"/>
  <c r="Q60" i="16"/>
  <c r="G144" i="2"/>
  <c r="G156" i="17"/>
  <c r="N109" i="16"/>
  <c r="N119" i="2"/>
  <c r="N125" i="16"/>
  <c r="H52" i="17"/>
  <c r="H60" i="17"/>
  <c r="T150" i="2"/>
  <c r="S169" i="2"/>
  <c r="T146" i="2"/>
  <c r="O169" i="16"/>
  <c r="S43" i="16"/>
  <c r="S42" i="16"/>
  <c r="T41" i="16"/>
  <c r="S44" i="16"/>
  <c r="S139" i="16"/>
  <c r="R155" i="16"/>
  <c r="S151" i="16"/>
  <c r="P129" i="2"/>
  <c r="P167" i="16"/>
  <c r="R39" i="16"/>
  <c r="R159" i="16"/>
  <c r="R83" i="2"/>
  <c r="R84" i="2" s="1"/>
  <c r="R35" i="16"/>
  <c r="Q82" i="2"/>
  <c r="Q163" i="16"/>
  <c r="Q127" i="2" s="1"/>
  <c r="S137" i="16"/>
  <c r="R153" i="16"/>
  <c r="S26" i="16"/>
  <c r="S32" i="16"/>
  <c r="R152" i="16"/>
  <c r="S136" i="16"/>
  <c r="R37" i="16"/>
  <c r="S29" i="16"/>
  <c r="R36" i="16"/>
  <c r="S36" i="16" s="1"/>
  <c r="T31" i="16"/>
  <c r="Q166" i="16"/>
  <c r="Q128" i="2"/>
  <c r="Q160" i="16"/>
  <c r="Q162" i="16"/>
  <c r="Q79" i="2"/>
  <c r="P125" i="2"/>
  <c r="P168" i="16"/>
  <c r="S138" i="16"/>
  <c r="R164" i="16"/>
  <c r="Q165" i="16"/>
  <c r="Q126" i="2" s="1"/>
  <c r="Q81" i="2"/>
  <c r="T141" i="2"/>
  <c r="I20" i="17" l="1"/>
  <c r="I21" i="17" s="1"/>
  <c r="V91" i="12"/>
  <c r="U99" i="12"/>
  <c r="U100" i="12" s="1"/>
  <c r="E161" i="2"/>
  <c r="E159" i="2" s="1"/>
  <c r="H107" i="17"/>
  <c r="H111" i="17" s="1"/>
  <c r="S69" i="12"/>
  <c r="R79" i="12"/>
  <c r="R80" i="12" s="1"/>
  <c r="R70" i="12"/>
  <c r="J90" i="17"/>
  <c r="J40" i="17"/>
  <c r="Q71" i="12"/>
  <c r="J88" i="2" s="1"/>
  <c r="I91" i="17"/>
  <c r="I92" i="17" s="1"/>
  <c r="I104" i="17"/>
  <c r="I105" i="17" s="1"/>
  <c r="I106" i="17" s="1"/>
  <c r="I107" i="17" s="1"/>
  <c r="I111" i="17" s="1"/>
  <c r="I94" i="17"/>
  <c r="I95" i="17" s="1"/>
  <c r="I96" i="17" s="1"/>
  <c r="I99" i="17"/>
  <c r="I100" i="17" s="1"/>
  <c r="I101" i="17" s="1"/>
  <c r="I44" i="17"/>
  <c r="I45" i="17" s="1"/>
  <c r="I46" i="17" s="1"/>
  <c r="I49" i="17"/>
  <c r="I50" i="17" s="1"/>
  <c r="I51" i="17" s="1"/>
  <c r="I52" i="17" s="1"/>
  <c r="I41" i="17"/>
  <c r="I42" i="17" s="1"/>
  <c r="I54" i="17"/>
  <c r="I55" i="17" s="1"/>
  <c r="I56" i="17" s="1"/>
  <c r="I57" i="17" s="1"/>
  <c r="I61" i="17" s="1"/>
  <c r="I139" i="2"/>
  <c r="H168" i="2"/>
  <c r="Q38" i="12"/>
  <c r="Q39" i="12" s="1"/>
  <c r="Q47" i="12"/>
  <c r="Q48" i="12" s="1"/>
  <c r="I18" i="17"/>
  <c r="N128" i="17"/>
  <c r="I137" i="17"/>
  <c r="I138" i="17" s="1"/>
  <c r="I154" i="17" s="1"/>
  <c r="I156" i="17" s="1"/>
  <c r="H22" i="17"/>
  <c r="I22" i="17" s="1"/>
  <c r="G162" i="17"/>
  <c r="G53" i="2" s="1"/>
  <c r="G100" i="2" s="1"/>
  <c r="G102" i="2" s="1"/>
  <c r="R37" i="12"/>
  <c r="S33" i="12"/>
  <c r="R43" i="12"/>
  <c r="H23" i="17"/>
  <c r="I23" i="17" s="1"/>
  <c r="Q70" i="2"/>
  <c r="O118" i="2"/>
  <c r="I19" i="17"/>
  <c r="Q89" i="16"/>
  <c r="E156" i="2"/>
  <c r="G160" i="17"/>
  <c r="G48" i="2" s="1"/>
  <c r="G50" i="2" s="1"/>
  <c r="G51" i="2" s="1"/>
  <c r="G98" i="2" s="1"/>
  <c r="E155" i="2"/>
  <c r="Q68" i="2"/>
  <c r="P115" i="2"/>
  <c r="Q97" i="16"/>
  <c r="Q88" i="16"/>
  <c r="Q115" i="16" s="1"/>
  <c r="Q98" i="16"/>
  <c r="Q123" i="16" s="1"/>
  <c r="H144" i="2"/>
  <c r="H167" i="2" s="1"/>
  <c r="M163" i="17"/>
  <c r="M54" i="2" s="1"/>
  <c r="M101" i="2" s="1"/>
  <c r="K15" i="17"/>
  <c r="K135" i="17" s="1"/>
  <c r="Q116" i="16"/>
  <c r="H59" i="17"/>
  <c r="F50" i="2"/>
  <c r="F51" i="2" s="1"/>
  <c r="F98" i="2" s="1"/>
  <c r="M161" i="17"/>
  <c r="M49" i="2" s="1"/>
  <c r="M96" i="2" s="1"/>
  <c r="P103" i="16"/>
  <c r="P102" i="16"/>
  <c r="H109" i="17"/>
  <c r="H115" i="17" s="1"/>
  <c r="H116" i="17" s="1"/>
  <c r="S44" i="12"/>
  <c r="T34" i="12"/>
  <c r="P71" i="2"/>
  <c r="U78" i="12"/>
  <c r="V68" i="12"/>
  <c r="N83" i="17"/>
  <c r="P117" i="2"/>
  <c r="P127" i="16"/>
  <c r="F55" i="2"/>
  <c r="F56" i="2" s="1"/>
  <c r="F103" i="2" s="1"/>
  <c r="N90" i="12"/>
  <c r="M98" i="12"/>
  <c r="P116" i="2"/>
  <c r="T51" i="12"/>
  <c r="T56" i="12" s="1"/>
  <c r="O30" i="17"/>
  <c r="O31" i="17" s="1"/>
  <c r="O145" i="17"/>
  <c r="P74" i="2"/>
  <c r="P76" i="2" s="1"/>
  <c r="P101" i="16"/>
  <c r="P108" i="16" s="1"/>
  <c r="I110" i="17"/>
  <c r="I102" i="17"/>
  <c r="R68" i="16"/>
  <c r="S66" i="16"/>
  <c r="Q124" i="16"/>
  <c r="Q99" i="16"/>
  <c r="R48" i="16"/>
  <c r="U236" i="12"/>
  <c r="T235" i="12"/>
  <c r="F160" i="2"/>
  <c r="U66" i="12"/>
  <c r="T76" i="12"/>
  <c r="M88" i="12"/>
  <c r="L96" i="12"/>
  <c r="R57" i="12"/>
  <c r="Q64" i="17"/>
  <c r="Q114" i="17"/>
  <c r="P123" i="17"/>
  <c r="P124" i="17" s="1"/>
  <c r="P125" i="17" s="1"/>
  <c r="P118" i="17"/>
  <c r="P119" i="17" s="1"/>
  <c r="P120" i="17" s="1"/>
  <c r="I97" i="17"/>
  <c r="R49" i="16"/>
  <c r="S56" i="16"/>
  <c r="R59" i="16"/>
  <c r="Q73" i="16"/>
  <c r="Q94" i="16" s="1"/>
  <c r="R72" i="16"/>
  <c r="O29" i="17"/>
  <c r="O28" i="17"/>
  <c r="P67" i="2"/>
  <c r="J135" i="17"/>
  <c r="J16" i="17"/>
  <c r="J17" i="17" s="1"/>
  <c r="O121" i="17"/>
  <c r="M166" i="2"/>
  <c r="M145" i="2"/>
  <c r="O109" i="16"/>
  <c r="O119" i="2"/>
  <c r="O125" i="16"/>
  <c r="P69" i="2"/>
  <c r="Q50" i="16"/>
  <c r="R138" i="2"/>
  <c r="O87" i="12"/>
  <c r="O92" i="12" s="1"/>
  <c r="N95" i="12"/>
  <c r="R23" i="16"/>
  <c r="R98" i="16" s="1"/>
  <c r="R123" i="16" s="1"/>
  <c r="Q82" i="16"/>
  <c r="Q92" i="16"/>
  <c r="Q95" i="16"/>
  <c r="Q121" i="16" s="1"/>
  <c r="Q85" i="16"/>
  <c r="Q83" i="16"/>
  <c r="Q111" i="16" s="1"/>
  <c r="Q87" i="16"/>
  <c r="Q93" i="16"/>
  <c r="Q119" i="16" s="1"/>
  <c r="Q75" i="2"/>
  <c r="Q84" i="16"/>
  <c r="Q120" i="16"/>
  <c r="Q112" i="16"/>
  <c r="N32" i="17"/>
  <c r="N165" i="17" s="1"/>
  <c r="N59" i="2" s="1"/>
  <c r="N106" i="2" s="1"/>
  <c r="N33" i="17"/>
  <c r="O129" i="17"/>
  <c r="O126" i="17"/>
  <c r="P25" i="17"/>
  <c r="P26" i="17"/>
  <c r="P27" i="17" s="1"/>
  <c r="G167" i="2"/>
  <c r="O71" i="17"/>
  <c r="S58" i="16"/>
  <c r="R61" i="16"/>
  <c r="S36" i="12"/>
  <c r="R46" i="12"/>
  <c r="P104" i="16"/>
  <c r="S57" i="16"/>
  <c r="R60" i="16"/>
  <c r="T152" i="17"/>
  <c r="T142" i="17"/>
  <c r="I60" i="17"/>
  <c r="N147" i="17"/>
  <c r="N148" i="17" s="1"/>
  <c r="N155" i="17" s="1"/>
  <c r="AB146" i="17"/>
  <c r="M89" i="12"/>
  <c r="L97" i="12"/>
  <c r="S67" i="16"/>
  <c r="T65" i="16"/>
  <c r="V75" i="12"/>
  <c r="W65" i="12"/>
  <c r="S46" i="16"/>
  <c r="S47" i="16" s="1"/>
  <c r="V35" i="12"/>
  <c r="U45" i="12"/>
  <c r="O84" i="17"/>
  <c r="O76" i="17"/>
  <c r="Q72" i="2"/>
  <c r="N120" i="2"/>
  <c r="N166" i="2" s="1"/>
  <c r="N126" i="16"/>
  <c r="N128" i="16" s="1"/>
  <c r="I47" i="17"/>
  <c r="V225" i="12"/>
  <c r="U224" i="12"/>
  <c r="S146" i="16"/>
  <c r="S154" i="16" s="1"/>
  <c r="T145" i="16"/>
  <c r="T77" i="12"/>
  <c r="U67" i="12"/>
  <c r="P73" i="17"/>
  <c r="P74" i="17" s="1"/>
  <c r="P75" i="17" s="1"/>
  <c r="P78" i="17"/>
  <c r="P79" i="17" s="1"/>
  <c r="P80" i="17" s="1"/>
  <c r="P81" i="17" s="1"/>
  <c r="P85" i="17" s="1"/>
  <c r="P167" i="17" s="1"/>
  <c r="P62" i="2" s="1"/>
  <c r="P110" i="2" s="1"/>
  <c r="P68" i="17"/>
  <c r="P69" i="17" s="1"/>
  <c r="P70" i="17" s="1"/>
  <c r="P65" i="17"/>
  <c r="P66" i="17" s="1"/>
  <c r="U150" i="2"/>
  <c r="T169" i="2"/>
  <c r="U146" i="2"/>
  <c r="P169" i="16"/>
  <c r="T43" i="16"/>
  <c r="T42" i="16"/>
  <c r="T44" i="16"/>
  <c r="U41" i="16"/>
  <c r="T30" i="16"/>
  <c r="T28" i="16"/>
  <c r="T27" i="16"/>
  <c r="T26" i="16"/>
  <c r="T137" i="16"/>
  <c r="S153" i="16"/>
  <c r="S83" i="2"/>
  <c r="S84" i="2" s="1"/>
  <c r="S159" i="16"/>
  <c r="S37" i="16"/>
  <c r="T32" i="16"/>
  <c r="R128" i="2"/>
  <c r="R166" i="16"/>
  <c r="R160" i="16"/>
  <c r="T151" i="16"/>
  <c r="T138" i="16"/>
  <c r="S164" i="16"/>
  <c r="S35" i="16"/>
  <c r="S38" i="16"/>
  <c r="T38" i="16" s="1"/>
  <c r="R162" i="16"/>
  <c r="R79" i="2"/>
  <c r="R81" i="2"/>
  <c r="R165" i="16"/>
  <c r="R126" i="2" s="1"/>
  <c r="T29" i="16"/>
  <c r="S39" i="16"/>
  <c r="T139" i="16"/>
  <c r="S155" i="16"/>
  <c r="T36" i="16"/>
  <c r="T136" i="16"/>
  <c r="S152" i="16"/>
  <c r="Q167" i="16"/>
  <c r="Q129" i="2"/>
  <c r="R163" i="16"/>
  <c r="R127" i="2" s="1"/>
  <c r="R82" i="2"/>
  <c r="Q125" i="2"/>
  <c r="Q168" i="16"/>
  <c r="U31" i="16"/>
  <c r="U141" i="2"/>
  <c r="V99" i="12" l="1"/>
  <c r="V100" i="12" s="1"/>
  <c r="W91" i="12"/>
  <c r="H164" i="17"/>
  <c r="H58" i="2" s="1"/>
  <c r="H105" i="2" s="1"/>
  <c r="H107" i="2" s="1"/>
  <c r="J139" i="2"/>
  <c r="I168" i="2"/>
  <c r="I166" i="17"/>
  <c r="J41" i="17"/>
  <c r="J42" i="17" s="1"/>
  <c r="J49" i="17"/>
  <c r="J50" i="17" s="1"/>
  <c r="J51" i="17" s="1"/>
  <c r="J52" i="17" s="1"/>
  <c r="J54" i="17"/>
  <c r="J55" i="17" s="1"/>
  <c r="J56" i="17" s="1"/>
  <c r="J57" i="17" s="1"/>
  <c r="J61" i="17" s="1"/>
  <c r="J44" i="17"/>
  <c r="J45" i="17" s="1"/>
  <c r="J46" i="17" s="1"/>
  <c r="J47" i="17" s="1"/>
  <c r="J91" i="17"/>
  <c r="J92" i="17" s="1"/>
  <c r="J104" i="17"/>
  <c r="J105" i="17" s="1"/>
  <c r="J106" i="17" s="1"/>
  <c r="J99" i="17"/>
  <c r="J100" i="17" s="1"/>
  <c r="J101" i="17" s="1"/>
  <c r="J94" i="17"/>
  <c r="J95" i="17" s="1"/>
  <c r="J96" i="17" s="1"/>
  <c r="R71" i="12"/>
  <c r="K88" i="2" s="1"/>
  <c r="K40" i="17"/>
  <c r="K90" i="17"/>
  <c r="T69" i="12"/>
  <c r="S79" i="12"/>
  <c r="S80" i="12" s="1"/>
  <c r="S70" i="12"/>
  <c r="R38" i="12"/>
  <c r="R39" i="12" s="1"/>
  <c r="R47" i="12"/>
  <c r="R48" i="12" s="1"/>
  <c r="G55" i="2"/>
  <c r="G56" i="2" s="1"/>
  <c r="G103" i="2" s="1"/>
  <c r="I144" i="2"/>
  <c r="I167" i="2" s="1"/>
  <c r="G95" i="2"/>
  <c r="G97" i="2" s="1"/>
  <c r="G160" i="2" s="1"/>
  <c r="S37" i="12"/>
  <c r="T33" i="12"/>
  <c r="S43" i="12"/>
  <c r="F165" i="2"/>
  <c r="F171" i="2" s="1"/>
  <c r="K16" i="17"/>
  <c r="K17" i="17" s="1"/>
  <c r="P118" i="2"/>
  <c r="N161" i="17"/>
  <c r="N49" i="2" s="1"/>
  <c r="N96" i="2" s="1"/>
  <c r="I59" i="17"/>
  <c r="Q115" i="2"/>
  <c r="F154" i="2"/>
  <c r="F156" i="2" s="1"/>
  <c r="H162" i="17"/>
  <c r="H53" i="2" s="1"/>
  <c r="H55" i="2" s="1"/>
  <c r="H56" i="2" s="1"/>
  <c r="H103" i="2" s="1"/>
  <c r="F161" i="2"/>
  <c r="R50" i="16"/>
  <c r="I164" i="17"/>
  <c r="I58" i="2" s="1"/>
  <c r="I105" i="2" s="1"/>
  <c r="I107" i="2" s="1"/>
  <c r="Q69" i="2"/>
  <c r="H160" i="17"/>
  <c r="H48" i="2" s="1"/>
  <c r="H95" i="2" s="1"/>
  <c r="H97" i="2" s="1"/>
  <c r="I109" i="17"/>
  <c r="O128" i="17"/>
  <c r="O83" i="17"/>
  <c r="Q117" i="2"/>
  <c r="W68" i="12"/>
  <c r="V78" i="12"/>
  <c r="O90" i="12"/>
  <c r="N98" i="12"/>
  <c r="T44" i="12"/>
  <c r="U34" i="12"/>
  <c r="N163" i="17"/>
  <c r="N54" i="2" s="1"/>
  <c r="N101" i="2" s="1"/>
  <c r="Q74" i="2"/>
  <c r="Q76" i="2" s="1"/>
  <c r="Q71" i="2"/>
  <c r="Q103" i="16"/>
  <c r="O32" i="17"/>
  <c r="O165" i="17" s="1"/>
  <c r="O59" i="2" s="1"/>
  <c r="O106" i="2" s="1"/>
  <c r="O33" i="17"/>
  <c r="R97" i="16"/>
  <c r="P29" i="17"/>
  <c r="P28" i="17"/>
  <c r="J18" i="17"/>
  <c r="J19" i="17"/>
  <c r="P84" i="17"/>
  <c r="P76" i="17"/>
  <c r="V224" i="12"/>
  <c r="W225" i="12"/>
  <c r="N89" i="12"/>
  <c r="M97" i="12"/>
  <c r="Q26" i="17"/>
  <c r="Q27" i="17" s="1"/>
  <c r="Q25" i="17"/>
  <c r="Q101" i="16"/>
  <c r="Q108" i="16" s="1"/>
  <c r="V66" i="12"/>
  <c r="U76" i="12"/>
  <c r="AC146" i="17"/>
  <c r="O147" i="17"/>
  <c r="O148" i="17" s="1"/>
  <c r="O155" i="17" s="1"/>
  <c r="U51" i="12"/>
  <c r="U56" i="12" s="1"/>
  <c r="J97" i="17"/>
  <c r="T67" i="16"/>
  <c r="U65" i="16"/>
  <c r="J102" i="17"/>
  <c r="J110" i="17"/>
  <c r="T58" i="16"/>
  <c r="S61" i="16"/>
  <c r="P145" i="17"/>
  <c r="P30" i="17"/>
  <c r="P31" i="17" s="1"/>
  <c r="P87" i="12"/>
  <c r="P92" i="12" s="1"/>
  <c r="O95" i="12"/>
  <c r="J20" i="17"/>
  <c r="J21" i="17" s="1"/>
  <c r="S49" i="16"/>
  <c r="L15" i="17"/>
  <c r="P121" i="17"/>
  <c r="R70" i="2"/>
  <c r="T46" i="16"/>
  <c r="T47" i="16" s="1"/>
  <c r="O120" i="2"/>
  <c r="O166" i="2" s="1"/>
  <c r="O126" i="16"/>
  <c r="O128" i="16" s="1"/>
  <c r="X136" i="17"/>
  <c r="J137" i="17"/>
  <c r="J138" i="17" s="1"/>
  <c r="J154" i="17" s="1"/>
  <c r="N88" i="12"/>
  <c r="M96" i="12"/>
  <c r="V236" i="12"/>
  <c r="U235" i="12"/>
  <c r="S23" i="16"/>
  <c r="S116" i="16" s="1"/>
  <c r="R92" i="16"/>
  <c r="R120" i="16"/>
  <c r="R93" i="16"/>
  <c r="R119" i="16" s="1"/>
  <c r="R87" i="16"/>
  <c r="R83" i="16"/>
  <c r="R82" i="16"/>
  <c r="R84" i="16"/>
  <c r="R85" i="16"/>
  <c r="R113" i="16" s="1"/>
  <c r="R95" i="16"/>
  <c r="R121" i="16" s="1"/>
  <c r="R112" i="16"/>
  <c r="R75" i="2"/>
  <c r="V67" i="12"/>
  <c r="U77" i="12"/>
  <c r="R68" i="2"/>
  <c r="N145" i="2"/>
  <c r="Q113" i="16"/>
  <c r="Q104" i="16"/>
  <c r="Y136" i="17"/>
  <c r="R99" i="16"/>
  <c r="R124" i="16"/>
  <c r="S48" i="16"/>
  <c r="P129" i="17"/>
  <c r="P126" i="17"/>
  <c r="T66" i="16"/>
  <c r="S68" i="16"/>
  <c r="R90" i="16"/>
  <c r="R117" i="16" s="1"/>
  <c r="J107" i="17"/>
  <c r="J111" i="17" s="1"/>
  <c r="R72" i="2"/>
  <c r="Q67" i="2"/>
  <c r="T57" i="16"/>
  <c r="S60" i="16"/>
  <c r="R88" i="16"/>
  <c r="R115" i="16" s="1"/>
  <c r="R89" i="16"/>
  <c r="Q102" i="16"/>
  <c r="P71" i="17"/>
  <c r="U145" i="16"/>
  <c r="T146" i="16"/>
  <c r="T154" i="16" s="1"/>
  <c r="W35" i="12"/>
  <c r="V45" i="12"/>
  <c r="S138" i="2"/>
  <c r="Q123" i="17"/>
  <c r="Q124" i="17" s="1"/>
  <c r="Q125" i="17" s="1"/>
  <c r="Q118" i="17"/>
  <c r="Q119" i="17" s="1"/>
  <c r="Q120" i="17" s="1"/>
  <c r="P119" i="2"/>
  <c r="P109" i="16"/>
  <c r="P125" i="16"/>
  <c r="T36" i="12"/>
  <c r="S46" i="12"/>
  <c r="T56" i="16"/>
  <c r="S59" i="16"/>
  <c r="G161" i="2"/>
  <c r="R116" i="16"/>
  <c r="U152" i="17"/>
  <c r="U142" i="17"/>
  <c r="W75" i="12"/>
  <c r="X65" i="12"/>
  <c r="S72" i="16"/>
  <c r="R73" i="16"/>
  <c r="R94" i="16" s="1"/>
  <c r="Q68" i="17"/>
  <c r="Q69" i="17" s="1"/>
  <c r="Q70" i="17" s="1"/>
  <c r="Q73" i="17"/>
  <c r="Q74" i="17" s="1"/>
  <c r="Q75" i="17" s="1"/>
  <c r="Q78" i="17"/>
  <c r="Q79" i="17" s="1"/>
  <c r="Q80" i="17" s="1"/>
  <c r="Q81" i="17" s="1"/>
  <c r="Q85" i="17" s="1"/>
  <c r="Q167" i="17" s="1"/>
  <c r="Q62" i="2" s="1"/>
  <c r="Q110" i="2" s="1"/>
  <c r="Q65" i="17"/>
  <c r="Q66" i="17" s="1"/>
  <c r="R64" i="17"/>
  <c r="S57" i="12"/>
  <c r="R114" i="17"/>
  <c r="V150" i="2"/>
  <c r="U169" i="2"/>
  <c r="V146" i="2"/>
  <c r="Q169" i="16"/>
  <c r="U44" i="16"/>
  <c r="U42" i="16"/>
  <c r="U43" i="16"/>
  <c r="V41" i="16"/>
  <c r="U28" i="16"/>
  <c r="V28" i="16" s="1"/>
  <c r="U27" i="16"/>
  <c r="V27" i="16" s="1"/>
  <c r="U30" i="16"/>
  <c r="V30" i="16" s="1"/>
  <c r="T35" i="16"/>
  <c r="U139" i="16"/>
  <c r="T155" i="16"/>
  <c r="U32" i="16"/>
  <c r="U137" i="16"/>
  <c r="T153" i="16"/>
  <c r="U36" i="16"/>
  <c r="U138" i="16"/>
  <c r="T164" i="16"/>
  <c r="U29" i="16"/>
  <c r="R125" i="2"/>
  <c r="R168" i="16"/>
  <c r="T159" i="16"/>
  <c r="T83" i="2"/>
  <c r="T84" i="2" s="1"/>
  <c r="S81" i="2"/>
  <c r="S165" i="16"/>
  <c r="S126" i="2" s="1"/>
  <c r="U38" i="16"/>
  <c r="U151" i="16"/>
  <c r="V31" i="16"/>
  <c r="S163" i="16"/>
  <c r="S127" i="2" s="1"/>
  <c r="S82" i="2"/>
  <c r="T39" i="16"/>
  <c r="S79" i="2"/>
  <c r="S162" i="16"/>
  <c r="R129" i="2"/>
  <c r="R167" i="16"/>
  <c r="T37" i="16"/>
  <c r="U26" i="16"/>
  <c r="U136" i="16"/>
  <c r="T152" i="16"/>
  <c r="S166" i="16"/>
  <c r="S160" i="16"/>
  <c r="S128" i="2"/>
  <c r="V141" i="2"/>
  <c r="W99" i="12" l="1"/>
  <c r="W100" i="12" s="1"/>
  <c r="X91" i="12"/>
  <c r="J60" i="17"/>
  <c r="K104" i="17"/>
  <c r="K105" i="17" s="1"/>
  <c r="K106" i="17" s="1"/>
  <c r="K94" i="17"/>
  <c r="K95" i="17" s="1"/>
  <c r="K96" i="17" s="1"/>
  <c r="K99" i="17"/>
  <c r="K100" i="17" s="1"/>
  <c r="K101" i="17" s="1"/>
  <c r="K91" i="17"/>
  <c r="K92" i="17" s="1"/>
  <c r="K54" i="17"/>
  <c r="K55" i="17" s="1"/>
  <c r="K56" i="17" s="1"/>
  <c r="K57" i="17" s="1"/>
  <c r="K61" i="17" s="1"/>
  <c r="K41" i="17"/>
  <c r="K42" i="17" s="1"/>
  <c r="K44" i="17"/>
  <c r="K45" i="17" s="1"/>
  <c r="K46" i="17" s="1"/>
  <c r="K47" i="17" s="1"/>
  <c r="K49" i="17"/>
  <c r="K50" i="17" s="1"/>
  <c r="K51" i="17" s="1"/>
  <c r="J166" i="17"/>
  <c r="U69" i="12"/>
  <c r="T79" i="12"/>
  <c r="T80" i="12" s="1"/>
  <c r="T70" i="12"/>
  <c r="L90" i="17"/>
  <c r="L40" i="17"/>
  <c r="S71" i="12"/>
  <c r="L88" i="2" s="1"/>
  <c r="J168" i="2"/>
  <c r="K139" i="2"/>
  <c r="K18" i="17"/>
  <c r="G154" i="2"/>
  <c r="G156" i="2" s="1"/>
  <c r="S38" i="12"/>
  <c r="S39" i="12" s="1"/>
  <c r="S47" i="12"/>
  <c r="S48" i="12" s="1"/>
  <c r="G165" i="2"/>
  <c r="G171" i="2" s="1"/>
  <c r="P128" i="17"/>
  <c r="K19" i="17"/>
  <c r="K20" i="17"/>
  <c r="K21" i="17" s="1"/>
  <c r="J59" i="17"/>
  <c r="T37" i="12"/>
  <c r="T43" i="12"/>
  <c r="U33" i="12"/>
  <c r="I160" i="17"/>
  <c r="I48" i="2" s="1"/>
  <c r="I50" i="2" s="1"/>
  <c r="I51" i="2" s="1"/>
  <c r="I98" i="2" s="1"/>
  <c r="F162" i="2"/>
  <c r="F159" i="2" s="1"/>
  <c r="H50" i="2"/>
  <c r="H51" i="2" s="1"/>
  <c r="H98" i="2" s="1"/>
  <c r="H161" i="2" s="1"/>
  <c r="F155" i="2"/>
  <c r="O161" i="17"/>
  <c r="O49" i="2" s="1"/>
  <c r="O96" i="2" s="1"/>
  <c r="I162" i="17"/>
  <c r="I53" i="2" s="1"/>
  <c r="I55" i="2" s="1"/>
  <c r="I56" i="2" s="1"/>
  <c r="I103" i="2" s="1"/>
  <c r="H100" i="2"/>
  <c r="H102" i="2" s="1"/>
  <c r="P83" i="17"/>
  <c r="M15" i="17"/>
  <c r="M135" i="17" s="1"/>
  <c r="S50" i="16"/>
  <c r="I115" i="17"/>
  <c r="I116" i="17" s="1"/>
  <c r="R102" i="16"/>
  <c r="R116" i="2"/>
  <c r="K137" i="17"/>
  <c r="K138" i="17" s="1"/>
  <c r="K154" i="17" s="1"/>
  <c r="K156" i="17" s="1"/>
  <c r="S72" i="2"/>
  <c r="P90" i="12"/>
  <c r="O98" i="12"/>
  <c r="S89" i="16"/>
  <c r="S70" i="2"/>
  <c r="S68" i="2"/>
  <c r="S98" i="16"/>
  <c r="S123" i="16" s="1"/>
  <c r="S90" i="16"/>
  <c r="S117" i="16" s="1"/>
  <c r="S88" i="16"/>
  <c r="S115" i="16" s="1"/>
  <c r="J109" i="17"/>
  <c r="J115" i="17" s="1"/>
  <c r="J116" i="17" s="1"/>
  <c r="X68" i="12"/>
  <c r="W78" i="12"/>
  <c r="V34" i="12"/>
  <c r="U44" i="12"/>
  <c r="R103" i="16"/>
  <c r="P147" i="17"/>
  <c r="P148" i="17" s="1"/>
  <c r="P155" i="17" s="1"/>
  <c r="P145" i="2" s="1"/>
  <c r="W224" i="12"/>
  <c r="X225" i="12"/>
  <c r="R78" i="17"/>
  <c r="R79" i="17" s="1"/>
  <c r="R80" i="17" s="1"/>
  <c r="R81" i="17" s="1"/>
  <c r="R85" i="17" s="1"/>
  <c r="R167" i="17" s="1"/>
  <c r="R62" i="2" s="1"/>
  <c r="R110" i="2" s="1"/>
  <c r="R68" i="17"/>
  <c r="R69" i="17" s="1"/>
  <c r="R70" i="17" s="1"/>
  <c r="R73" i="17"/>
  <c r="R74" i="17" s="1"/>
  <c r="R75" i="17" s="1"/>
  <c r="R65" i="17"/>
  <c r="R66" i="17" s="1"/>
  <c r="O163" i="17"/>
  <c r="O54" i="2" s="1"/>
  <c r="O101" i="2" s="1"/>
  <c r="T138" i="2"/>
  <c r="V77" i="12"/>
  <c r="W67" i="12"/>
  <c r="T23" i="16"/>
  <c r="T90" i="16" s="1"/>
  <c r="T117" i="16" s="1"/>
  <c r="S92" i="16"/>
  <c r="S82" i="16"/>
  <c r="S83" i="16"/>
  <c r="S84" i="16"/>
  <c r="S93" i="16"/>
  <c r="S119" i="16" s="1"/>
  <c r="S87" i="16"/>
  <c r="S112" i="16"/>
  <c r="S85" i="16"/>
  <c r="S113" i="16" s="1"/>
  <c r="S120" i="16"/>
  <c r="S75" i="2"/>
  <c r="S95" i="16"/>
  <c r="S121" i="16" s="1"/>
  <c r="V51" i="12"/>
  <c r="V56" i="12" s="1"/>
  <c r="Q119" i="2"/>
  <c r="Q109" i="16"/>
  <c r="Q125" i="16"/>
  <c r="O89" i="12"/>
  <c r="N97" i="12"/>
  <c r="V145" i="16"/>
  <c r="U146" i="16"/>
  <c r="U154" i="16" s="1"/>
  <c r="P95" i="12"/>
  <c r="Q87" i="12"/>
  <c r="Q92" i="12" s="1"/>
  <c r="X75" i="12"/>
  <c r="Y65" i="12"/>
  <c r="V152" i="17"/>
  <c r="V142" i="17"/>
  <c r="Q116" i="2"/>
  <c r="Q118" i="2" s="1"/>
  <c r="Q127" i="16"/>
  <c r="R101" i="16"/>
  <c r="R108" i="16" s="1"/>
  <c r="R74" i="2"/>
  <c r="R76" i="2" s="1"/>
  <c r="O145" i="2"/>
  <c r="R117" i="2"/>
  <c r="O88" i="12"/>
  <c r="N96" i="12"/>
  <c r="P32" i="17"/>
  <c r="P165" i="17" s="1"/>
  <c r="P59" i="2" s="1"/>
  <c r="P106" i="2" s="1"/>
  <c r="P33" i="17"/>
  <c r="R69" i="2"/>
  <c r="R104" i="16"/>
  <c r="X35" i="12"/>
  <c r="W45" i="12"/>
  <c r="R71" i="2"/>
  <c r="S97" i="16"/>
  <c r="T49" i="16"/>
  <c r="U58" i="16"/>
  <c r="T61" i="16"/>
  <c r="K52" i="17"/>
  <c r="K60" i="17"/>
  <c r="R123" i="17"/>
  <c r="R124" i="17" s="1"/>
  <c r="R125" i="17" s="1"/>
  <c r="R118" i="17"/>
  <c r="R119" i="17" s="1"/>
  <c r="R120" i="17" s="1"/>
  <c r="T72" i="16"/>
  <c r="S73" i="16"/>
  <c r="S94" i="16" s="1"/>
  <c r="L135" i="17"/>
  <c r="L16" i="17"/>
  <c r="L17" i="17" s="1"/>
  <c r="S64" i="17"/>
  <c r="T57" i="12"/>
  <c r="S114" i="17"/>
  <c r="K97" i="17"/>
  <c r="R26" i="17"/>
  <c r="R27" i="17" s="1"/>
  <c r="R25" i="17"/>
  <c r="R67" i="2"/>
  <c r="R111" i="16"/>
  <c r="U46" i="16"/>
  <c r="J23" i="17"/>
  <c r="J22" i="17"/>
  <c r="Q84" i="17"/>
  <c r="Q76" i="17"/>
  <c r="T59" i="16"/>
  <c r="U56" i="16"/>
  <c r="U36" i="12"/>
  <c r="T46" i="12"/>
  <c r="Q121" i="17"/>
  <c r="S99" i="16"/>
  <c r="S124" i="16"/>
  <c r="T48" i="16"/>
  <c r="K107" i="17"/>
  <c r="K111" i="17" s="1"/>
  <c r="K166" i="17"/>
  <c r="W236" i="12"/>
  <c r="V235" i="12"/>
  <c r="J144" i="2"/>
  <c r="J156" i="17"/>
  <c r="P120" i="2"/>
  <c r="P126" i="16"/>
  <c r="P128" i="16" s="1"/>
  <c r="Q29" i="17"/>
  <c r="Q28" i="17"/>
  <c r="T68" i="16"/>
  <c r="U66" i="16"/>
  <c r="Q71" i="17"/>
  <c r="K102" i="17"/>
  <c r="K110" i="17"/>
  <c r="Q126" i="17"/>
  <c r="Q129" i="17"/>
  <c r="U57" i="16"/>
  <c r="T60" i="16"/>
  <c r="U67" i="16"/>
  <c r="V65" i="16"/>
  <c r="V76" i="12"/>
  <c r="W66" i="12"/>
  <c r="Q30" i="17"/>
  <c r="Q31" i="17" s="1"/>
  <c r="Q145" i="17"/>
  <c r="V169" i="2"/>
  <c r="W150" i="2"/>
  <c r="W146" i="2"/>
  <c r="R169" i="16"/>
  <c r="V42" i="16"/>
  <c r="V44" i="16"/>
  <c r="V43" i="16"/>
  <c r="W41" i="16"/>
  <c r="U159" i="16"/>
  <c r="U83" i="2"/>
  <c r="U84" i="2" s="1"/>
  <c r="V151" i="16"/>
  <c r="T128" i="2"/>
  <c r="T160" i="16"/>
  <c r="T166" i="16"/>
  <c r="V26" i="16"/>
  <c r="T162" i="16"/>
  <c r="T79" i="2"/>
  <c r="S125" i="2"/>
  <c r="S168" i="16"/>
  <c r="U39" i="16"/>
  <c r="V38" i="16"/>
  <c r="V29" i="16"/>
  <c r="T165" i="16"/>
  <c r="T126" i="2" s="1"/>
  <c r="T81" i="2"/>
  <c r="V32" i="16"/>
  <c r="U37" i="16"/>
  <c r="V138" i="16"/>
  <c r="U164" i="16"/>
  <c r="V139" i="16"/>
  <c r="U155" i="16"/>
  <c r="T163" i="16"/>
  <c r="T127" i="2" s="1"/>
  <c r="T82" i="2"/>
  <c r="V136" i="16"/>
  <c r="U152" i="16"/>
  <c r="S129" i="2"/>
  <c r="S167" i="16"/>
  <c r="W27" i="16"/>
  <c r="V137" i="16"/>
  <c r="U153" i="16"/>
  <c r="U35" i="16"/>
  <c r="W141" i="2"/>
  <c r="X99" i="12" l="1"/>
  <c r="X100" i="12" s="1"/>
  <c r="Y91" i="12"/>
  <c r="I100" i="2"/>
  <c r="I102" i="2" s="1"/>
  <c r="L49" i="17"/>
  <c r="L50" i="17" s="1"/>
  <c r="L51" i="17" s="1"/>
  <c r="L44" i="17"/>
  <c r="L45" i="17" s="1"/>
  <c r="L46" i="17" s="1"/>
  <c r="L41" i="17"/>
  <c r="L42" i="17" s="1"/>
  <c r="L54" i="17"/>
  <c r="L55" i="17" s="1"/>
  <c r="L56" i="17" s="1"/>
  <c r="L57" i="17" s="1"/>
  <c r="L61" i="17" s="1"/>
  <c r="L104" i="17"/>
  <c r="L105" i="17" s="1"/>
  <c r="L106" i="17" s="1"/>
  <c r="L91" i="17"/>
  <c r="L92" i="17" s="1"/>
  <c r="L94" i="17"/>
  <c r="L95" i="17" s="1"/>
  <c r="L96" i="17" s="1"/>
  <c r="L97" i="17" s="1"/>
  <c r="L99" i="17"/>
  <c r="L100" i="17" s="1"/>
  <c r="L101" i="17" s="1"/>
  <c r="M40" i="17"/>
  <c r="T71" i="12"/>
  <c r="M88" i="2" s="1"/>
  <c r="M90" i="17"/>
  <c r="V69" i="12"/>
  <c r="U79" i="12"/>
  <c r="U80" i="12" s="1"/>
  <c r="U70" i="12"/>
  <c r="G155" i="2"/>
  <c r="L139" i="2"/>
  <c r="K168" i="2"/>
  <c r="G162" i="2"/>
  <c r="G159" i="2" s="1"/>
  <c r="K22" i="17"/>
  <c r="K164" i="17" s="1"/>
  <c r="K58" i="2" s="1"/>
  <c r="K105" i="2" s="1"/>
  <c r="K107" i="2" s="1"/>
  <c r="K23" i="17"/>
  <c r="T38" i="12"/>
  <c r="T39" i="12" s="1"/>
  <c r="T47" i="12"/>
  <c r="T48" i="12" s="1"/>
  <c r="S26" i="17" s="1"/>
  <c r="S27" i="17" s="1"/>
  <c r="I95" i="2"/>
  <c r="I97" i="2" s="1"/>
  <c r="P161" i="17"/>
  <c r="P49" i="2" s="1"/>
  <c r="P96" i="2" s="1"/>
  <c r="H165" i="2"/>
  <c r="H171" i="2" s="1"/>
  <c r="H154" i="2"/>
  <c r="H155" i="2" s="1"/>
  <c r="U37" i="12"/>
  <c r="V33" i="12"/>
  <c r="U43" i="12"/>
  <c r="H160" i="2"/>
  <c r="P163" i="17"/>
  <c r="P54" i="2" s="1"/>
  <c r="P101" i="2" s="1"/>
  <c r="S102" i="16"/>
  <c r="Q147" i="17"/>
  <c r="Q148" i="17" s="1"/>
  <c r="Q155" i="17" s="1"/>
  <c r="Q145" i="2" s="1"/>
  <c r="K144" i="2"/>
  <c r="K167" i="2" s="1"/>
  <c r="S116" i="2"/>
  <c r="K59" i="17"/>
  <c r="M16" i="17"/>
  <c r="M17" i="17" s="1"/>
  <c r="T68" i="2"/>
  <c r="Q128" i="17"/>
  <c r="Q83" i="17"/>
  <c r="S103" i="16"/>
  <c r="T70" i="2"/>
  <c r="S69" i="2"/>
  <c r="L20" i="17"/>
  <c r="L21" i="17" s="1"/>
  <c r="S117" i="2"/>
  <c r="V44" i="12"/>
  <c r="W34" i="12"/>
  <c r="S104" i="16"/>
  <c r="K109" i="17"/>
  <c r="K115" i="17" s="1"/>
  <c r="K116" i="17" s="1"/>
  <c r="S71" i="2"/>
  <c r="X78" i="12"/>
  <c r="Y68" i="12"/>
  <c r="Y78" i="12" s="1"/>
  <c r="Q90" i="12"/>
  <c r="P98" i="12"/>
  <c r="T88" i="16"/>
  <c r="T115" i="16" s="1"/>
  <c r="T98" i="16"/>
  <c r="T123" i="16" s="1"/>
  <c r="T116" i="16"/>
  <c r="W76" i="12"/>
  <c r="X66" i="12"/>
  <c r="J167" i="2"/>
  <c r="L47" i="17"/>
  <c r="T97" i="16"/>
  <c r="S118" i="17"/>
  <c r="S119" i="17" s="1"/>
  <c r="S120" i="17" s="1"/>
  <c r="S123" i="17"/>
  <c r="S124" i="17" s="1"/>
  <c r="S125" i="17" s="1"/>
  <c r="AA136" i="17"/>
  <c r="W152" i="17"/>
  <c r="W142" i="17"/>
  <c r="V46" i="16"/>
  <c r="V58" i="16"/>
  <c r="U61" i="16"/>
  <c r="X236" i="12"/>
  <c r="W235" i="12"/>
  <c r="R129" i="17"/>
  <c r="R126" i="17"/>
  <c r="U47" i="16"/>
  <c r="R28" i="17"/>
  <c r="R29" i="17"/>
  <c r="L19" i="17"/>
  <c r="L18" i="17"/>
  <c r="X45" i="12"/>
  <c r="Y35" i="12"/>
  <c r="N15" i="17"/>
  <c r="Q126" i="16"/>
  <c r="Q128" i="16" s="1"/>
  <c r="Q120" i="2"/>
  <c r="Q166" i="2" s="1"/>
  <c r="S101" i="16"/>
  <c r="S108" i="16" s="1"/>
  <c r="R121" i="17"/>
  <c r="J160" i="17"/>
  <c r="J48" i="2" s="1"/>
  <c r="P88" i="12"/>
  <c r="O96" i="12"/>
  <c r="Q95" i="12"/>
  <c r="R87" i="12"/>
  <c r="R92" i="12" s="1"/>
  <c r="L60" i="17"/>
  <c r="L52" i="17"/>
  <c r="R145" i="17"/>
  <c r="R30" i="17"/>
  <c r="R31" i="17" s="1"/>
  <c r="S78" i="17"/>
  <c r="S79" i="17" s="1"/>
  <c r="S80" i="17" s="1"/>
  <c r="S81" i="17" s="1"/>
  <c r="S85" i="17" s="1"/>
  <c r="S167" i="17" s="1"/>
  <c r="S62" i="2" s="1"/>
  <c r="S110" i="2" s="1"/>
  <c r="S68" i="17"/>
  <c r="S69" i="17" s="1"/>
  <c r="S70" i="17" s="1"/>
  <c r="S73" i="17"/>
  <c r="S74" i="17" s="1"/>
  <c r="S75" i="17" s="1"/>
  <c r="S65" i="17"/>
  <c r="S66" i="17" s="1"/>
  <c r="T99" i="16"/>
  <c r="U48" i="16"/>
  <c r="T124" i="16"/>
  <c r="U46" i="12"/>
  <c r="V36" i="12"/>
  <c r="R115" i="2"/>
  <c r="R118" i="2" s="1"/>
  <c r="R127" i="16"/>
  <c r="L102" i="17"/>
  <c r="L110" i="17"/>
  <c r="Z136" i="17"/>
  <c r="L137" i="17"/>
  <c r="L138" i="17" s="1"/>
  <c r="L154" i="17" s="1"/>
  <c r="J162" i="17"/>
  <c r="J53" i="2" s="1"/>
  <c r="L107" i="17"/>
  <c r="L111" i="17" s="1"/>
  <c r="T114" i="17"/>
  <c r="U57" i="12"/>
  <c r="T64" i="17"/>
  <c r="U138" i="2"/>
  <c r="P166" i="2"/>
  <c r="P89" i="12"/>
  <c r="O97" i="12"/>
  <c r="U23" i="16"/>
  <c r="T92" i="16"/>
  <c r="T93" i="16"/>
  <c r="T119" i="16" s="1"/>
  <c r="T84" i="16"/>
  <c r="T95" i="16"/>
  <c r="T121" i="16" s="1"/>
  <c r="T87" i="16"/>
  <c r="T82" i="16"/>
  <c r="T120" i="16"/>
  <c r="T83" i="16"/>
  <c r="T111" i="16" s="1"/>
  <c r="T75" i="2"/>
  <c r="T112" i="16"/>
  <c r="T85" i="16"/>
  <c r="T113" i="16" s="1"/>
  <c r="W65" i="16"/>
  <c r="V67" i="16"/>
  <c r="T72" i="2"/>
  <c r="Q32" i="17"/>
  <c r="Q165" i="17" s="1"/>
  <c r="Q59" i="2" s="1"/>
  <c r="Q106" i="2" s="1"/>
  <c r="Q33" i="17"/>
  <c r="V56" i="16"/>
  <c r="U59" i="16"/>
  <c r="J164" i="17"/>
  <c r="J58" i="2" s="1"/>
  <c r="J105" i="2" s="1"/>
  <c r="J107" i="2" s="1"/>
  <c r="W51" i="12"/>
  <c r="W56" i="12" s="1"/>
  <c r="S111" i="16"/>
  <c r="S67" i="2"/>
  <c r="R76" i="17"/>
  <c r="R84" i="17"/>
  <c r="Y75" i="12"/>
  <c r="U49" i="16"/>
  <c r="X67" i="12"/>
  <c r="W77" i="12"/>
  <c r="T89" i="16"/>
  <c r="T50" i="16"/>
  <c r="V57" i="16"/>
  <c r="U60" i="16"/>
  <c r="V66" i="16"/>
  <c r="U68" i="16"/>
  <c r="I161" i="2"/>
  <c r="U72" i="16"/>
  <c r="T73" i="16"/>
  <c r="T94" i="16" s="1"/>
  <c r="R119" i="2"/>
  <c r="R109" i="16"/>
  <c r="R125" i="16"/>
  <c r="W145" i="16"/>
  <c r="V146" i="16"/>
  <c r="V154" i="16" s="1"/>
  <c r="S74" i="2"/>
  <c r="S76" i="2" s="1"/>
  <c r="R71" i="17"/>
  <c r="Y225" i="12"/>
  <c r="X224" i="12"/>
  <c r="W169" i="2"/>
  <c r="X150" i="2"/>
  <c r="X146" i="2"/>
  <c r="S169" i="16"/>
  <c r="W44" i="16"/>
  <c r="W43" i="16"/>
  <c r="W42" i="16"/>
  <c r="X41" i="16"/>
  <c r="W136" i="16"/>
  <c r="V152" i="16"/>
  <c r="W151" i="16"/>
  <c r="V35" i="16"/>
  <c r="U82" i="2"/>
  <c r="U163" i="16"/>
  <c r="U127" i="2" s="1"/>
  <c r="W137" i="16"/>
  <c r="V153" i="16"/>
  <c r="W139" i="16"/>
  <c r="V155" i="16"/>
  <c r="V39" i="16"/>
  <c r="W26" i="16"/>
  <c r="U128" i="2"/>
  <c r="U160" i="16"/>
  <c r="U166" i="16"/>
  <c r="X27" i="16"/>
  <c r="W38" i="16"/>
  <c r="U165" i="16"/>
  <c r="U126" i="2" s="1"/>
  <c r="U81" i="2"/>
  <c r="W28" i="16"/>
  <c r="X28" i="16" s="1"/>
  <c r="V37" i="16"/>
  <c r="W29" i="16"/>
  <c r="T125" i="2"/>
  <c r="T168" i="16"/>
  <c r="U162" i="16"/>
  <c r="U79" i="2"/>
  <c r="V159" i="16"/>
  <c r="V83" i="2"/>
  <c r="V84" i="2" s="1"/>
  <c r="W31" i="16"/>
  <c r="W30" i="16"/>
  <c r="V36" i="16"/>
  <c r="W36" i="16" s="1"/>
  <c r="V164" i="16"/>
  <c r="W138" i="16"/>
  <c r="W32" i="16"/>
  <c r="T129" i="2"/>
  <c r="T167" i="16"/>
  <c r="X141" i="2"/>
  <c r="I160" i="2" l="1"/>
  <c r="Y99" i="12"/>
  <c r="Y100" i="12" s="1"/>
  <c r="Z91" i="12"/>
  <c r="L22" i="17"/>
  <c r="L166" i="17"/>
  <c r="M139" i="2"/>
  <c r="L168" i="2"/>
  <c r="N40" i="17"/>
  <c r="N90" i="17"/>
  <c r="U71" i="12"/>
  <c r="N88" i="2" s="1"/>
  <c r="W69" i="12"/>
  <c r="V70" i="12"/>
  <c r="V79" i="12"/>
  <c r="V80" i="12" s="1"/>
  <c r="M99" i="17"/>
  <c r="M100" i="17" s="1"/>
  <c r="M101" i="17" s="1"/>
  <c r="M104" i="17"/>
  <c r="M105" i="17" s="1"/>
  <c r="M106" i="17" s="1"/>
  <c r="M94" i="17"/>
  <c r="M95" i="17" s="1"/>
  <c r="M96" i="17" s="1"/>
  <c r="M97" i="17" s="1"/>
  <c r="M91" i="17"/>
  <c r="M92" i="17" s="1"/>
  <c r="M41" i="17"/>
  <c r="M42" i="17" s="1"/>
  <c r="M49" i="17"/>
  <c r="M50" i="17" s="1"/>
  <c r="M51" i="17" s="1"/>
  <c r="M52" i="17" s="1"/>
  <c r="M54" i="17"/>
  <c r="M55" i="17" s="1"/>
  <c r="M56" i="17" s="1"/>
  <c r="M57" i="17" s="1"/>
  <c r="M61" i="17" s="1"/>
  <c r="M44" i="17"/>
  <c r="M45" i="17" s="1"/>
  <c r="M46" i="17" s="1"/>
  <c r="I154" i="2"/>
  <c r="I156" i="2" s="1"/>
  <c r="I165" i="2"/>
  <c r="I171" i="2" s="1"/>
  <c r="U38" i="12"/>
  <c r="U39" i="12" s="1"/>
  <c r="U47" i="12"/>
  <c r="U48" i="12" s="1"/>
  <c r="T25" i="17" s="1"/>
  <c r="H162" i="2"/>
  <c r="H159" i="2" s="1"/>
  <c r="H156" i="2"/>
  <c r="S25" i="17"/>
  <c r="S30" i="17" s="1"/>
  <c r="S31" i="17" s="1"/>
  <c r="V37" i="12"/>
  <c r="W33" i="12"/>
  <c r="V43" i="12"/>
  <c r="K162" i="17"/>
  <c r="K53" i="2" s="1"/>
  <c r="K100" i="2" s="1"/>
  <c r="K102" i="2" s="1"/>
  <c r="R147" i="17"/>
  <c r="R148" i="17" s="1"/>
  <c r="R155" i="17" s="1"/>
  <c r="R145" i="2" s="1"/>
  <c r="Q163" i="17"/>
  <c r="Q54" i="2" s="1"/>
  <c r="Q101" i="2" s="1"/>
  <c r="T115" i="2"/>
  <c r="U98" i="16"/>
  <c r="U123" i="16" s="1"/>
  <c r="M19" i="17"/>
  <c r="U89" i="16"/>
  <c r="K160" i="17"/>
  <c r="K48" i="2" s="1"/>
  <c r="K95" i="2" s="1"/>
  <c r="K97" i="2" s="1"/>
  <c r="R83" i="17"/>
  <c r="R128" i="17"/>
  <c r="U90" i="16"/>
  <c r="U117" i="16" s="1"/>
  <c r="U88" i="16"/>
  <c r="U115" i="16" s="1"/>
  <c r="M20" i="17"/>
  <c r="M21" i="17" s="1"/>
  <c r="M22" i="17" s="1"/>
  <c r="U70" i="2"/>
  <c r="M18" i="17"/>
  <c r="L109" i="17"/>
  <c r="L115" i="17" s="1"/>
  <c r="L116" i="17" s="1"/>
  <c r="Q161" i="17"/>
  <c r="Q49" i="2" s="1"/>
  <c r="Q96" i="2" s="1"/>
  <c r="T127" i="16"/>
  <c r="T69" i="2"/>
  <c r="U72" i="2"/>
  <c r="W44" i="12"/>
  <c r="X34" i="12"/>
  <c r="T102" i="16"/>
  <c r="R90" i="12"/>
  <c r="Q98" i="12"/>
  <c r="U116" i="16"/>
  <c r="T67" i="2"/>
  <c r="V47" i="16"/>
  <c r="U97" i="16"/>
  <c r="T116" i="2"/>
  <c r="L23" i="17"/>
  <c r="U75" i="2"/>
  <c r="L59" i="17"/>
  <c r="T103" i="16"/>
  <c r="U50" i="16"/>
  <c r="M110" i="17"/>
  <c r="M102" i="17"/>
  <c r="W57" i="16"/>
  <c r="V60" i="16"/>
  <c r="V57" i="12"/>
  <c r="U64" i="17"/>
  <c r="U114" i="17"/>
  <c r="V48" i="16"/>
  <c r="U99" i="16"/>
  <c r="U124" i="16"/>
  <c r="S76" i="17"/>
  <c r="S84" i="17"/>
  <c r="M107" i="17"/>
  <c r="M111" i="17" s="1"/>
  <c r="M166" i="17"/>
  <c r="Z35" i="12"/>
  <c r="Y45" i="12"/>
  <c r="T117" i="2"/>
  <c r="W67" i="16"/>
  <c r="X65" i="16"/>
  <c r="U73" i="16"/>
  <c r="U94" i="16" s="1"/>
  <c r="V72" i="16"/>
  <c r="V49" i="16"/>
  <c r="S71" i="17"/>
  <c r="O15" i="17"/>
  <c r="S109" i="16"/>
  <c r="S119" i="2"/>
  <c r="S125" i="16"/>
  <c r="S126" i="17"/>
  <c r="S129" i="17"/>
  <c r="V59" i="16"/>
  <c r="W56" i="16"/>
  <c r="N135" i="17"/>
  <c r="N16" i="17"/>
  <c r="N17" i="17" s="1"/>
  <c r="V138" i="2"/>
  <c r="P96" i="12"/>
  <c r="Q88" i="12"/>
  <c r="L164" i="17"/>
  <c r="L58" i="2" s="1"/>
  <c r="L105" i="2" s="1"/>
  <c r="L107" i="2" s="1"/>
  <c r="S121" i="17"/>
  <c r="V68" i="16"/>
  <c r="W66" i="16"/>
  <c r="S115" i="2"/>
  <c r="S118" i="2" s="1"/>
  <c r="S127" i="16"/>
  <c r="W46" i="16"/>
  <c r="U68" i="2"/>
  <c r="T104" i="16"/>
  <c r="X152" i="17"/>
  <c r="X142" i="17"/>
  <c r="X145" i="16"/>
  <c r="W146" i="16"/>
  <c r="W154" i="16" s="1"/>
  <c r="V23" i="16"/>
  <c r="V97" i="16" s="1"/>
  <c r="U92" i="16"/>
  <c r="U87" i="16"/>
  <c r="U95" i="16"/>
  <c r="U121" i="16" s="1"/>
  <c r="U112" i="16"/>
  <c r="U85" i="16"/>
  <c r="U93" i="16"/>
  <c r="U119" i="16" s="1"/>
  <c r="U120" i="16"/>
  <c r="U83" i="16"/>
  <c r="U111" i="16" s="1"/>
  <c r="U82" i="16"/>
  <c r="U84" i="16"/>
  <c r="T73" i="17"/>
  <c r="T74" i="17" s="1"/>
  <c r="T75" i="17" s="1"/>
  <c r="T68" i="17"/>
  <c r="T69" i="17" s="1"/>
  <c r="T70" i="17" s="1"/>
  <c r="T78" i="17"/>
  <c r="T79" i="17" s="1"/>
  <c r="T80" i="17" s="1"/>
  <c r="T81" i="17" s="1"/>
  <c r="T85" i="17" s="1"/>
  <c r="T167" i="17" s="1"/>
  <c r="T62" i="2" s="1"/>
  <c r="T110" i="2" s="1"/>
  <c r="T65" i="17"/>
  <c r="T66" i="17" s="1"/>
  <c r="R32" i="17"/>
  <c r="R165" i="17" s="1"/>
  <c r="R59" i="2" s="1"/>
  <c r="R106" i="2" s="1"/>
  <c r="R33" i="17"/>
  <c r="R95" i="12"/>
  <c r="S87" i="12"/>
  <c r="S92" i="12" s="1"/>
  <c r="S29" i="17"/>
  <c r="S28" i="17"/>
  <c r="X235" i="12"/>
  <c r="Y236" i="12"/>
  <c r="T26" i="17"/>
  <c r="T27" i="17" s="1"/>
  <c r="M47" i="17"/>
  <c r="X51" i="12"/>
  <c r="X56" i="12" s="1"/>
  <c r="Y224" i="12"/>
  <c r="Z225" i="12"/>
  <c r="T74" i="2"/>
  <c r="T76" i="2" s="1"/>
  <c r="J55" i="2"/>
  <c r="J56" i="2" s="1"/>
  <c r="J103" i="2" s="1"/>
  <c r="J100" i="2"/>
  <c r="J102" i="2" s="1"/>
  <c r="M137" i="17"/>
  <c r="M138" i="17" s="1"/>
  <c r="M154" i="17" s="1"/>
  <c r="X76" i="12"/>
  <c r="Y66" i="12"/>
  <c r="X77" i="12"/>
  <c r="Y67" i="12"/>
  <c r="Y77" i="12" s="1"/>
  <c r="R120" i="2"/>
  <c r="R126" i="16"/>
  <c r="R128" i="16" s="1"/>
  <c r="T71" i="2"/>
  <c r="T101" i="16"/>
  <c r="T108" i="16" s="1"/>
  <c r="Q89" i="12"/>
  <c r="P97" i="12"/>
  <c r="T123" i="17"/>
  <c r="T124" i="17" s="1"/>
  <c r="T125" i="17" s="1"/>
  <c r="T118" i="17"/>
  <c r="T119" i="17" s="1"/>
  <c r="T120" i="17" s="1"/>
  <c r="L144" i="2"/>
  <c r="L156" i="17"/>
  <c r="W36" i="12"/>
  <c r="V46" i="12"/>
  <c r="J95" i="2"/>
  <c r="J97" i="2" s="1"/>
  <c r="J50" i="2"/>
  <c r="J51" i="2" s="1"/>
  <c r="J98" i="2" s="1"/>
  <c r="W58" i="16"/>
  <c r="V61" i="16"/>
  <c r="Y150" i="2"/>
  <c r="X169" i="2"/>
  <c r="Y146" i="2"/>
  <c r="T169" i="16"/>
  <c r="Y41" i="16"/>
  <c r="X44" i="16"/>
  <c r="X42" i="16"/>
  <c r="X43" i="16"/>
  <c r="X31" i="16"/>
  <c r="X30" i="16"/>
  <c r="U125" i="2"/>
  <c r="U168" i="16"/>
  <c r="X137" i="16"/>
  <c r="W153" i="16"/>
  <c r="W35" i="16"/>
  <c r="V162" i="16"/>
  <c r="V79" i="2"/>
  <c r="X151" i="16"/>
  <c r="V163" i="16"/>
  <c r="V127" i="2" s="1"/>
  <c r="V82" i="2"/>
  <c r="Y28" i="16"/>
  <c r="W39" i="16"/>
  <c r="X136" i="16"/>
  <c r="W152" i="16"/>
  <c r="X26" i="16"/>
  <c r="X32" i="16"/>
  <c r="X29" i="16"/>
  <c r="V165" i="16"/>
  <c r="V126" i="2" s="1"/>
  <c r="V81" i="2"/>
  <c r="X36" i="16"/>
  <c r="W37" i="16"/>
  <c r="X138" i="16"/>
  <c r="W164" i="16"/>
  <c r="V128" i="2"/>
  <c r="V160" i="16"/>
  <c r="V166" i="16"/>
  <c r="U129" i="2"/>
  <c r="U167" i="16"/>
  <c r="X139" i="16"/>
  <c r="W155" i="16"/>
  <c r="W159" i="16"/>
  <c r="W83" i="2"/>
  <c r="W84" i="2" s="1"/>
  <c r="Y141" i="2"/>
  <c r="Z99" i="12" l="1"/>
  <c r="Z100" i="12" s="1"/>
  <c r="AA91" i="12"/>
  <c r="I162" i="2"/>
  <c r="I159" i="2" s="1"/>
  <c r="I155" i="2"/>
  <c r="O40" i="17"/>
  <c r="V71" i="12"/>
  <c r="O88" i="2" s="1"/>
  <c r="O90" i="17"/>
  <c r="X69" i="12"/>
  <c r="W70" i="12"/>
  <c r="W79" i="12"/>
  <c r="W80" i="12" s="1"/>
  <c r="M60" i="17"/>
  <c r="M164" i="17" s="1"/>
  <c r="M58" i="2" s="1"/>
  <c r="M105" i="2" s="1"/>
  <c r="M107" i="2" s="1"/>
  <c r="N99" i="17"/>
  <c r="N100" i="17" s="1"/>
  <c r="N101" i="17" s="1"/>
  <c r="N102" i="17" s="1"/>
  <c r="N104" i="17"/>
  <c r="N105" i="17" s="1"/>
  <c r="N106" i="17" s="1"/>
  <c r="N94" i="17"/>
  <c r="N95" i="17" s="1"/>
  <c r="N96" i="17" s="1"/>
  <c r="N91" i="17"/>
  <c r="N92" i="17" s="1"/>
  <c r="N44" i="17"/>
  <c r="N45" i="17" s="1"/>
  <c r="N46" i="17" s="1"/>
  <c r="N54" i="17"/>
  <c r="N55" i="17" s="1"/>
  <c r="N56" i="17" s="1"/>
  <c r="N57" i="17" s="1"/>
  <c r="N61" i="17" s="1"/>
  <c r="N41" i="17"/>
  <c r="N42" i="17" s="1"/>
  <c r="N49" i="17"/>
  <c r="N50" i="17" s="1"/>
  <c r="N51" i="17" s="1"/>
  <c r="N60" i="17" s="1"/>
  <c r="N139" i="2"/>
  <c r="M168" i="2"/>
  <c r="S145" i="17"/>
  <c r="V38" i="12"/>
  <c r="V39" i="12" s="1"/>
  <c r="V47" i="12"/>
  <c r="V48" i="12" s="1"/>
  <c r="K55" i="2"/>
  <c r="K56" i="2" s="1"/>
  <c r="K103" i="2" s="1"/>
  <c r="S147" i="17"/>
  <c r="S148" i="17" s="1"/>
  <c r="S155" i="17" s="1"/>
  <c r="S145" i="2" s="1"/>
  <c r="S128" i="17"/>
  <c r="W37" i="12"/>
  <c r="X33" i="12"/>
  <c r="W43" i="12"/>
  <c r="K50" i="2"/>
  <c r="K51" i="2" s="1"/>
  <c r="K98" i="2" s="1"/>
  <c r="W47" i="16"/>
  <c r="R163" i="17"/>
  <c r="R54" i="2" s="1"/>
  <c r="R101" i="2" s="1"/>
  <c r="V50" i="16"/>
  <c r="M23" i="17"/>
  <c r="U103" i="16"/>
  <c r="U115" i="2"/>
  <c r="V89" i="16"/>
  <c r="V98" i="16"/>
  <c r="V123" i="16" s="1"/>
  <c r="V116" i="16"/>
  <c r="L162" i="17"/>
  <c r="L53" i="2" s="1"/>
  <c r="L100" i="2" s="1"/>
  <c r="L102" i="2" s="1"/>
  <c r="V90" i="16"/>
  <c r="V117" i="16" s="1"/>
  <c r="V68" i="2"/>
  <c r="U102" i="16"/>
  <c r="V70" i="2"/>
  <c r="V88" i="16"/>
  <c r="V115" i="16" s="1"/>
  <c r="L160" i="17"/>
  <c r="L48" i="2" s="1"/>
  <c r="L95" i="2" s="1"/>
  <c r="L97" i="2" s="1"/>
  <c r="M109" i="17"/>
  <c r="M115" i="17" s="1"/>
  <c r="M116" i="17" s="1"/>
  <c r="T118" i="2"/>
  <c r="U117" i="2"/>
  <c r="S83" i="17"/>
  <c r="U71" i="2"/>
  <c r="J154" i="2"/>
  <c r="J155" i="2" s="1"/>
  <c r="J161" i="2"/>
  <c r="S90" i="12"/>
  <c r="R98" i="12"/>
  <c r="M59" i="17"/>
  <c r="X44" i="12"/>
  <c r="Y34" i="12"/>
  <c r="U74" i="2"/>
  <c r="U76" i="2" s="1"/>
  <c r="U101" i="16"/>
  <c r="U108" i="16" s="1"/>
  <c r="Y152" i="17"/>
  <c r="Y142" i="17"/>
  <c r="N47" i="17"/>
  <c r="P15" i="17"/>
  <c r="AB136" i="17"/>
  <c r="N137" i="17"/>
  <c r="N138" i="17" s="1"/>
  <c r="N154" i="17" s="1"/>
  <c r="R166" i="2"/>
  <c r="AA35" i="12"/>
  <c r="Z45" i="12"/>
  <c r="U67" i="2"/>
  <c r="Y51" i="12"/>
  <c r="Y56" i="12" s="1"/>
  <c r="W23" i="16"/>
  <c r="W97" i="16" s="1"/>
  <c r="V92" i="16"/>
  <c r="V82" i="16"/>
  <c r="V83" i="16"/>
  <c r="V111" i="16" s="1"/>
  <c r="V112" i="16"/>
  <c r="V85" i="16"/>
  <c r="V113" i="16" s="1"/>
  <c r="V84" i="16"/>
  <c r="V87" i="16"/>
  <c r="V93" i="16"/>
  <c r="V119" i="16" s="1"/>
  <c r="V95" i="16"/>
  <c r="V121" i="16" s="1"/>
  <c r="V120" i="16"/>
  <c r="X46" i="16"/>
  <c r="X56" i="16"/>
  <c r="W59" i="16"/>
  <c r="W49" i="16"/>
  <c r="N97" i="17"/>
  <c r="T121" i="17"/>
  <c r="X58" i="16"/>
  <c r="W61" i="16"/>
  <c r="U26" i="17"/>
  <c r="U27" i="17" s="1"/>
  <c r="U25" i="17"/>
  <c r="R89" i="12"/>
  <c r="Q97" i="12"/>
  <c r="R161" i="17"/>
  <c r="R49" i="2" s="1"/>
  <c r="R96" i="2" s="1"/>
  <c r="S33" i="17"/>
  <c r="S32" i="17"/>
  <c r="S165" i="17" s="1"/>
  <c r="S59" i="2" s="1"/>
  <c r="S106" i="2" s="1"/>
  <c r="W138" i="2"/>
  <c r="N107" i="17"/>
  <c r="N111" i="17" s="1"/>
  <c r="X67" i="16"/>
  <c r="Y65" i="16"/>
  <c r="W72" i="16"/>
  <c r="V73" i="16"/>
  <c r="V94" i="16" s="1"/>
  <c r="X57" i="16"/>
  <c r="W60" i="16"/>
  <c r="X36" i="12"/>
  <c r="W46" i="12"/>
  <c r="Y235" i="12"/>
  <c r="Z236" i="12"/>
  <c r="X146" i="16"/>
  <c r="X154" i="16" s="1"/>
  <c r="Y145" i="16"/>
  <c r="J165" i="2"/>
  <c r="J171" i="2" s="1"/>
  <c r="J160" i="2"/>
  <c r="T126" i="17"/>
  <c r="T129" i="17"/>
  <c r="W57" i="12"/>
  <c r="V114" i="17"/>
  <c r="V64" i="17"/>
  <c r="K160" i="2"/>
  <c r="W48" i="16"/>
  <c r="V124" i="16"/>
  <c r="V99" i="16"/>
  <c r="T119" i="2"/>
  <c r="T109" i="16"/>
  <c r="T125" i="16"/>
  <c r="T29" i="17"/>
  <c r="T28" i="17"/>
  <c r="S95" i="12"/>
  <c r="T87" i="12"/>
  <c r="T92" i="12" s="1"/>
  <c r="T71" i="17"/>
  <c r="U69" i="2"/>
  <c r="U113" i="16"/>
  <c r="U104" i="16"/>
  <c r="N19" i="17"/>
  <c r="N18" i="17"/>
  <c r="O135" i="17"/>
  <c r="O16" i="17"/>
  <c r="O17" i="17" s="1"/>
  <c r="U118" i="17"/>
  <c r="U119" i="17" s="1"/>
  <c r="U120" i="17" s="1"/>
  <c r="U123" i="17"/>
  <c r="U124" i="17" s="1"/>
  <c r="U125" i="17" s="1"/>
  <c r="M144" i="2"/>
  <c r="M156" i="17"/>
  <c r="S120" i="2"/>
  <c r="S166" i="2" s="1"/>
  <c r="S126" i="16"/>
  <c r="S128" i="16" s="1"/>
  <c r="V72" i="2"/>
  <c r="L167" i="2"/>
  <c r="Y76" i="12"/>
  <c r="AA225" i="12"/>
  <c r="Z224" i="12"/>
  <c r="T145" i="17"/>
  <c r="T147" i="17" s="1"/>
  <c r="T148" i="17" s="1"/>
  <c r="T155" i="17" s="1"/>
  <c r="T30" i="17"/>
  <c r="T31" i="17" s="1"/>
  <c r="T84" i="17"/>
  <c r="T76" i="17"/>
  <c r="W68" i="16"/>
  <c r="X66" i="16"/>
  <c r="Q96" i="12"/>
  <c r="R88" i="12"/>
  <c r="N20" i="17"/>
  <c r="N21" i="17" s="1"/>
  <c r="U73" i="17"/>
  <c r="U74" i="17" s="1"/>
  <c r="U75" i="17" s="1"/>
  <c r="U78" i="17"/>
  <c r="U79" i="17" s="1"/>
  <c r="U80" i="17" s="1"/>
  <c r="U81" i="17" s="1"/>
  <c r="U85" i="17" s="1"/>
  <c r="U167" i="17" s="1"/>
  <c r="U62" i="2" s="1"/>
  <c r="U110" i="2" s="1"/>
  <c r="U68" i="17"/>
  <c r="U69" i="17" s="1"/>
  <c r="U70" i="17" s="1"/>
  <c r="U65" i="17"/>
  <c r="U66" i="17" s="1"/>
  <c r="V75" i="2"/>
  <c r="Z150" i="2"/>
  <c r="Y169" i="2"/>
  <c r="Z146" i="2"/>
  <c r="U169" i="16"/>
  <c r="Z41" i="16"/>
  <c r="Y43" i="16"/>
  <c r="Y42" i="16"/>
  <c r="Y44" i="16"/>
  <c r="Y31" i="16"/>
  <c r="Y30" i="16"/>
  <c r="Z30" i="16" s="1"/>
  <c r="Y27" i="16"/>
  <c r="Y29" i="16"/>
  <c r="Y139" i="16"/>
  <c r="X155" i="16"/>
  <c r="V125" i="2"/>
  <c r="V168" i="16"/>
  <c r="Y138" i="16"/>
  <c r="X164" i="16"/>
  <c r="X159" i="16"/>
  <c r="X83" i="2"/>
  <c r="X84" i="2" s="1"/>
  <c r="W128" i="2"/>
  <c r="W166" i="16"/>
  <c r="W160" i="16"/>
  <c r="W163" i="16"/>
  <c r="W127" i="2" s="1"/>
  <c r="W82" i="2"/>
  <c r="W165" i="16"/>
  <c r="W126" i="2" s="1"/>
  <c r="W81" i="2"/>
  <c r="Y136" i="16"/>
  <c r="X152" i="16"/>
  <c r="X39" i="16"/>
  <c r="Y151" i="16"/>
  <c r="X35" i="16"/>
  <c r="W162" i="16"/>
  <c r="W79" i="2"/>
  <c r="Y32" i="16"/>
  <c r="Y137" i="16"/>
  <c r="X153" i="16"/>
  <c r="Y36" i="16"/>
  <c r="X38" i="16"/>
  <c r="Y38" i="16" s="1"/>
  <c r="X37" i="16"/>
  <c r="V129" i="2"/>
  <c r="V167" i="16"/>
  <c r="Y26" i="16"/>
  <c r="Z141" i="2"/>
  <c r="AB91" i="12" l="1"/>
  <c r="AA99" i="12"/>
  <c r="AA100" i="12" s="1"/>
  <c r="K161" i="2"/>
  <c r="N52" i="17"/>
  <c r="O139" i="2"/>
  <c r="N168" i="2"/>
  <c r="Y69" i="12"/>
  <c r="X70" i="12"/>
  <c r="X79" i="12"/>
  <c r="X80" i="12" s="1"/>
  <c r="N166" i="17"/>
  <c r="N110" i="17"/>
  <c r="O104" i="17"/>
  <c r="O105" i="17" s="1"/>
  <c r="O106" i="17" s="1"/>
  <c r="O94" i="17"/>
  <c r="O95" i="17" s="1"/>
  <c r="O96" i="17" s="1"/>
  <c r="O91" i="17"/>
  <c r="O92" i="17" s="1"/>
  <c r="O99" i="17"/>
  <c r="O100" i="17" s="1"/>
  <c r="O101" i="17" s="1"/>
  <c r="W71" i="12"/>
  <c r="P88" i="2" s="1"/>
  <c r="P40" i="17"/>
  <c r="P90" i="17"/>
  <c r="O44" i="17"/>
  <c r="O45" i="17" s="1"/>
  <c r="O46" i="17" s="1"/>
  <c r="O47" i="17" s="1"/>
  <c r="O41" i="17"/>
  <c r="O42" i="17" s="1"/>
  <c r="O49" i="17"/>
  <c r="O50" i="17" s="1"/>
  <c r="O51" i="17" s="1"/>
  <c r="O54" i="17"/>
  <c r="O55" i="17" s="1"/>
  <c r="O56" i="17" s="1"/>
  <c r="O57" i="17" s="1"/>
  <c r="O61" i="17" s="1"/>
  <c r="K154" i="2"/>
  <c r="K162" i="2" s="1"/>
  <c r="K159" i="2" s="1"/>
  <c r="W38" i="12"/>
  <c r="W39" i="12" s="1"/>
  <c r="W47" i="12"/>
  <c r="W48" i="12" s="1"/>
  <c r="V25" i="17" s="1"/>
  <c r="K165" i="2"/>
  <c r="K171" i="2" s="1"/>
  <c r="X47" i="16"/>
  <c r="X37" i="12"/>
  <c r="X43" i="12"/>
  <c r="Y33" i="12"/>
  <c r="W50" i="16"/>
  <c r="M160" i="17"/>
  <c r="M48" i="2" s="1"/>
  <c r="M50" i="2" s="1"/>
  <c r="M51" i="2" s="1"/>
  <c r="M98" i="2" s="1"/>
  <c r="N23" i="17"/>
  <c r="V115" i="2"/>
  <c r="N59" i="17"/>
  <c r="Q15" i="17"/>
  <c r="Q135" i="17" s="1"/>
  <c r="L50" i="2"/>
  <c r="L51" i="2" s="1"/>
  <c r="L98" i="2" s="1"/>
  <c r="W116" i="16"/>
  <c r="V67" i="2"/>
  <c r="W68" i="2"/>
  <c r="L55" i="2"/>
  <c r="L56" i="2" s="1"/>
  <c r="L103" i="2" s="1"/>
  <c r="S163" i="17"/>
  <c r="S54" i="2" s="1"/>
  <c r="S101" i="2" s="1"/>
  <c r="V116" i="2"/>
  <c r="M162" i="17"/>
  <c r="M53" i="2" s="1"/>
  <c r="M55" i="2" s="1"/>
  <c r="M56" i="2" s="1"/>
  <c r="M103" i="2" s="1"/>
  <c r="V71" i="2"/>
  <c r="W70" i="2"/>
  <c r="J156" i="2"/>
  <c r="T128" i="17"/>
  <c r="W98" i="16"/>
  <c r="W123" i="16" s="1"/>
  <c r="W72" i="2"/>
  <c r="W90" i="16"/>
  <c r="W117" i="16" s="1"/>
  <c r="W88" i="16"/>
  <c r="W115" i="16" s="1"/>
  <c r="W89" i="16"/>
  <c r="T90" i="12"/>
  <c r="S98" i="12"/>
  <c r="V117" i="2"/>
  <c r="N109" i="17"/>
  <c r="V103" i="16"/>
  <c r="Z34" i="12"/>
  <c r="Y44" i="12"/>
  <c r="V104" i="16"/>
  <c r="J162" i="2"/>
  <c r="J159" i="2" s="1"/>
  <c r="V69" i="2"/>
  <c r="T83" i="17"/>
  <c r="V127" i="16"/>
  <c r="O52" i="17"/>
  <c r="O60" i="17"/>
  <c r="Y57" i="16"/>
  <c r="X60" i="16"/>
  <c r="X138" i="2"/>
  <c r="X57" i="12"/>
  <c r="W64" i="17"/>
  <c r="W114" i="17"/>
  <c r="AB35" i="12"/>
  <c r="AA45" i="12"/>
  <c r="AB225" i="12"/>
  <c r="AA224" i="12"/>
  <c r="P135" i="17"/>
  <c r="P16" i="17"/>
  <c r="P17" i="17" s="1"/>
  <c r="Z235" i="12"/>
  <c r="AA236" i="12"/>
  <c r="Z65" i="16"/>
  <c r="Y67" i="16"/>
  <c r="U29" i="17"/>
  <c r="U28" i="17"/>
  <c r="V102" i="16"/>
  <c r="O97" i="17"/>
  <c r="Y58" i="16"/>
  <c r="X61" i="16"/>
  <c r="X49" i="16"/>
  <c r="Y46" i="16"/>
  <c r="L160" i="2"/>
  <c r="U76" i="17"/>
  <c r="U84" i="17"/>
  <c r="Z152" i="17"/>
  <c r="Z142" i="17"/>
  <c r="U121" i="17"/>
  <c r="T120" i="2"/>
  <c r="T166" i="2" s="1"/>
  <c r="T126" i="16"/>
  <c r="T128" i="16" s="1"/>
  <c r="O19" i="17"/>
  <c r="O18" i="17"/>
  <c r="W124" i="16"/>
  <c r="W99" i="16"/>
  <c r="X48" i="16"/>
  <c r="V118" i="17"/>
  <c r="V119" i="17" s="1"/>
  <c r="V120" i="17" s="1"/>
  <c r="V123" i="17"/>
  <c r="V124" i="17" s="1"/>
  <c r="V125" i="17" s="1"/>
  <c r="Z145" i="16"/>
  <c r="Y146" i="16"/>
  <c r="Y154" i="16" s="1"/>
  <c r="W73" i="16"/>
  <c r="W94" i="16" s="1"/>
  <c r="X72" i="16"/>
  <c r="X59" i="16"/>
  <c r="Y56" i="16"/>
  <c r="V101" i="16"/>
  <c r="V108" i="16" s="1"/>
  <c r="S88" i="12"/>
  <c r="R96" i="12"/>
  <c r="O20" i="17"/>
  <c r="O21" i="17" s="1"/>
  <c r="O107" i="17"/>
  <c r="O111" i="17" s="1"/>
  <c r="O166" i="17"/>
  <c r="M167" i="2"/>
  <c r="O102" i="17"/>
  <c r="V68" i="17"/>
  <c r="V69" i="17" s="1"/>
  <c r="V70" i="17" s="1"/>
  <c r="V73" i="17"/>
  <c r="V74" i="17" s="1"/>
  <c r="V75" i="17" s="1"/>
  <c r="V78" i="17"/>
  <c r="V79" i="17" s="1"/>
  <c r="V80" i="17" s="1"/>
  <c r="V81" i="17" s="1"/>
  <c r="V85" i="17" s="1"/>
  <c r="V167" i="17" s="1"/>
  <c r="V62" i="2" s="1"/>
  <c r="V110" i="2" s="1"/>
  <c r="V65" i="17"/>
  <c r="V66" i="17" s="1"/>
  <c r="U71" i="17"/>
  <c r="T33" i="17"/>
  <c r="T32" i="17"/>
  <c r="T165" i="17" s="1"/>
  <c r="T59" i="2" s="1"/>
  <c r="T106" i="2" s="1"/>
  <c r="AC136" i="17"/>
  <c r="O137" i="17"/>
  <c r="O138" i="17" s="1"/>
  <c r="O154" i="17" s="1"/>
  <c r="N22" i="17"/>
  <c r="S161" i="17"/>
  <c r="S49" i="2" s="1"/>
  <c r="S96" i="2" s="1"/>
  <c r="Y36" i="12"/>
  <c r="X46" i="12"/>
  <c r="S89" i="12"/>
  <c r="R97" i="12"/>
  <c r="X23" i="16"/>
  <c r="X97" i="16" s="1"/>
  <c r="W92" i="16"/>
  <c r="W82" i="16"/>
  <c r="W112" i="16"/>
  <c r="W93" i="16"/>
  <c r="W119" i="16" s="1"/>
  <c r="W84" i="16"/>
  <c r="W83" i="16"/>
  <c r="W111" i="16" s="1"/>
  <c r="W85" i="16"/>
  <c r="W113" i="16" s="1"/>
  <c r="W120" i="16"/>
  <c r="W87" i="16"/>
  <c r="W75" i="2"/>
  <c r="W95" i="16"/>
  <c r="W121" i="16" s="1"/>
  <c r="N144" i="2"/>
  <c r="N156" i="17"/>
  <c r="U119" i="2"/>
  <c r="U125" i="16"/>
  <c r="U109" i="16"/>
  <c r="U116" i="2"/>
  <c r="U118" i="2" s="1"/>
  <c r="U127" i="16"/>
  <c r="X68" i="16"/>
  <c r="Y66" i="16"/>
  <c r="T145" i="2"/>
  <c r="U126" i="17"/>
  <c r="U129" i="17"/>
  <c r="T95" i="12"/>
  <c r="U87" i="12"/>
  <c r="U92" i="12" s="1"/>
  <c r="U145" i="17"/>
  <c r="U147" i="17" s="1"/>
  <c r="U148" i="17" s="1"/>
  <c r="U155" i="17" s="1"/>
  <c r="U30" i="17"/>
  <c r="U31" i="17" s="1"/>
  <c r="V74" i="2"/>
  <c r="V76" i="2" s="1"/>
  <c r="Z51" i="12"/>
  <c r="Z56" i="12" s="1"/>
  <c r="AA150" i="2"/>
  <c r="Z169" i="2"/>
  <c r="AA146" i="2"/>
  <c r="V169" i="16"/>
  <c r="Z42" i="16"/>
  <c r="Z43" i="16"/>
  <c r="Z44" i="16"/>
  <c r="AA41" i="16"/>
  <c r="Z27" i="16"/>
  <c r="Z31" i="16"/>
  <c r="X163" i="16"/>
  <c r="X127" i="2" s="1"/>
  <c r="X82" i="2"/>
  <c r="Z138" i="16"/>
  <c r="Y164" i="16"/>
  <c r="X81" i="2"/>
  <c r="X165" i="16"/>
  <c r="X126" i="2" s="1"/>
  <c r="X160" i="16"/>
  <c r="X128" i="2"/>
  <c r="X166" i="16"/>
  <c r="Z139" i="16"/>
  <c r="Y155" i="16"/>
  <c r="Y39" i="16"/>
  <c r="Z32" i="16"/>
  <c r="Y159" i="16"/>
  <c r="Y83" i="2"/>
  <c r="Y84" i="2" s="1"/>
  <c r="W129" i="2"/>
  <c r="W167" i="16"/>
  <c r="Y37" i="16"/>
  <c r="Z151" i="16"/>
  <c r="X162" i="16"/>
  <c r="X79" i="2"/>
  <c r="Z29" i="16"/>
  <c r="W125" i="2"/>
  <c r="W168" i="16"/>
  <c r="Z26" i="16"/>
  <c r="Y153" i="16"/>
  <c r="Z137" i="16"/>
  <c r="Y35" i="16"/>
  <c r="AA30" i="16"/>
  <c r="Z136" i="16"/>
  <c r="Y152" i="16"/>
  <c r="Z28" i="16"/>
  <c r="AA141" i="2"/>
  <c r="O110" i="17" l="1"/>
  <c r="AC91" i="12"/>
  <c r="AC99" i="12" s="1"/>
  <c r="AC100" i="12" s="1"/>
  <c r="AB99" i="12"/>
  <c r="AB100" i="12" s="1"/>
  <c r="K155" i="2"/>
  <c r="V26" i="17"/>
  <c r="V27" i="17" s="1"/>
  <c r="P94" i="17"/>
  <c r="P95" i="17" s="1"/>
  <c r="P96" i="17" s="1"/>
  <c r="P99" i="17"/>
  <c r="P100" i="17" s="1"/>
  <c r="P101" i="17" s="1"/>
  <c r="P104" i="17"/>
  <c r="P105" i="17" s="1"/>
  <c r="P106" i="17" s="1"/>
  <c r="P91" i="17"/>
  <c r="P92" i="17" s="1"/>
  <c r="P44" i="17"/>
  <c r="P45" i="17" s="1"/>
  <c r="P46" i="17" s="1"/>
  <c r="P54" i="17"/>
  <c r="P55" i="17" s="1"/>
  <c r="P56" i="17" s="1"/>
  <c r="P57" i="17" s="1"/>
  <c r="P61" i="17" s="1"/>
  <c r="P49" i="17"/>
  <c r="P50" i="17" s="1"/>
  <c r="P51" i="17" s="1"/>
  <c r="P60" i="17" s="1"/>
  <c r="P41" i="17"/>
  <c r="P42" i="17" s="1"/>
  <c r="Q90" i="17"/>
  <c r="Q40" i="17"/>
  <c r="X71" i="12"/>
  <c r="Q88" i="2" s="1"/>
  <c r="Z69" i="12"/>
  <c r="Y79" i="12"/>
  <c r="Y80" i="12" s="1"/>
  <c r="Y70" i="12"/>
  <c r="P139" i="2"/>
  <c r="O168" i="2"/>
  <c r="Y47" i="16"/>
  <c r="K156" i="2"/>
  <c r="O59" i="17"/>
  <c r="X38" i="12"/>
  <c r="X39" i="12" s="1"/>
  <c r="X47" i="12"/>
  <c r="X48" i="12" s="1"/>
  <c r="W26" i="17" s="1"/>
  <c r="W27" i="17" s="1"/>
  <c r="V118" i="2"/>
  <c r="M95" i="2"/>
  <c r="M97" i="2" s="1"/>
  <c r="N160" i="17"/>
  <c r="N48" i="2" s="1"/>
  <c r="N95" i="2" s="1"/>
  <c r="N97" i="2" s="1"/>
  <c r="Y37" i="12"/>
  <c r="Z33" i="12"/>
  <c r="Y43" i="12"/>
  <c r="O23" i="17"/>
  <c r="L161" i="2"/>
  <c r="Q16" i="17"/>
  <c r="Q17" i="17" s="1"/>
  <c r="L165" i="2"/>
  <c r="L171" i="2" s="1"/>
  <c r="X89" i="16"/>
  <c r="N115" i="17"/>
  <c r="N116" i="17" s="1"/>
  <c r="X98" i="16"/>
  <c r="X123" i="16" s="1"/>
  <c r="U83" i="17"/>
  <c r="O109" i="17"/>
  <c r="N162" i="17"/>
  <c r="N53" i="2" s="1"/>
  <c r="N55" i="2" s="1"/>
  <c r="N56" i="2" s="1"/>
  <c r="N103" i="2" s="1"/>
  <c r="X116" i="16"/>
  <c r="M100" i="2"/>
  <c r="M102" i="2" s="1"/>
  <c r="M165" i="2" s="1"/>
  <c r="M171" i="2" s="1"/>
  <c r="L154" i="2"/>
  <c r="U128" i="17"/>
  <c r="X88" i="16"/>
  <c r="X115" i="16" s="1"/>
  <c r="X68" i="2"/>
  <c r="T163" i="17"/>
  <c r="T54" i="2" s="1"/>
  <c r="T101" i="2" s="1"/>
  <c r="X72" i="2"/>
  <c r="X70" i="2"/>
  <c r="W116" i="2"/>
  <c r="X90" i="16"/>
  <c r="X117" i="16" s="1"/>
  <c r="W115" i="2"/>
  <c r="AA34" i="12"/>
  <c r="Z44" i="12"/>
  <c r="W71" i="2"/>
  <c r="R15" i="17"/>
  <c r="R135" i="17" s="1"/>
  <c r="W117" i="2"/>
  <c r="Y49" i="16"/>
  <c r="W103" i="16"/>
  <c r="O22" i="17"/>
  <c r="O164" i="17" s="1"/>
  <c r="O58" i="2" s="1"/>
  <c r="O105" i="2" s="1"/>
  <c r="O107" i="2" s="1"/>
  <c r="U90" i="12"/>
  <c r="T98" i="12"/>
  <c r="Y138" i="2"/>
  <c r="O144" i="2"/>
  <c r="O156" i="17"/>
  <c r="Z46" i="16"/>
  <c r="Z47" i="16" s="1"/>
  <c r="P110" i="17"/>
  <c r="P102" i="17"/>
  <c r="P107" i="17"/>
  <c r="P111" i="17" s="1"/>
  <c r="X114" i="17"/>
  <c r="X64" i="17"/>
  <c r="Y57" i="12"/>
  <c r="N167" i="2"/>
  <c r="AA145" i="16"/>
  <c r="Z146" i="16"/>
  <c r="Z154" i="16" s="1"/>
  <c r="P97" i="17"/>
  <c r="AA152" i="17"/>
  <c r="AA142" i="17"/>
  <c r="Z57" i="16"/>
  <c r="Y60" i="16"/>
  <c r="U95" i="12"/>
  <c r="V87" i="12"/>
  <c r="V92" i="12" s="1"/>
  <c r="P18" i="17"/>
  <c r="P19" i="17"/>
  <c r="W67" i="2"/>
  <c r="T88" i="12"/>
  <c r="S96" i="12"/>
  <c r="Y59" i="16"/>
  <c r="Z56" i="16"/>
  <c r="P20" i="17"/>
  <c r="P21" i="17" s="1"/>
  <c r="W123" i="17"/>
  <c r="W124" i="17" s="1"/>
  <c r="W125" i="17" s="1"/>
  <c r="W118" i="17"/>
  <c r="W119" i="17" s="1"/>
  <c r="W120" i="17" s="1"/>
  <c r="W102" i="16"/>
  <c r="AA51" i="12"/>
  <c r="AA56" i="12" s="1"/>
  <c r="V125" i="16"/>
  <c r="V109" i="16"/>
  <c r="V119" i="2"/>
  <c r="AC35" i="12"/>
  <c r="AB45" i="12"/>
  <c r="W104" i="16"/>
  <c r="U33" i="17"/>
  <c r="U32" i="17"/>
  <c r="U165" i="17" s="1"/>
  <c r="U59" i="2" s="1"/>
  <c r="U106" i="2" s="1"/>
  <c r="N164" i="17"/>
  <c r="N58" i="2" s="1"/>
  <c r="N105" i="2" s="1"/>
  <c r="N107" i="2" s="1"/>
  <c r="W101" i="16"/>
  <c r="W108" i="16" s="1"/>
  <c r="W74" i="2"/>
  <c r="W76" i="2" s="1"/>
  <c r="T161" i="17"/>
  <c r="T49" i="2" s="1"/>
  <c r="T96" i="2" s="1"/>
  <c r="V129" i="17"/>
  <c r="V126" i="17"/>
  <c r="P137" i="17"/>
  <c r="P138" i="17" s="1"/>
  <c r="P154" i="17" s="1"/>
  <c r="W78" i="17"/>
  <c r="W79" i="17" s="1"/>
  <c r="W80" i="17" s="1"/>
  <c r="W81" i="17" s="1"/>
  <c r="W85" i="17" s="1"/>
  <c r="W167" i="17" s="1"/>
  <c r="W62" i="2" s="1"/>
  <c r="W110" i="2" s="1"/>
  <c r="W73" i="17"/>
  <c r="W74" i="17" s="1"/>
  <c r="W75" i="17" s="1"/>
  <c r="W68" i="17"/>
  <c r="W69" i="17" s="1"/>
  <c r="W70" i="17" s="1"/>
  <c r="W65" i="17"/>
  <c r="W66" i="17" s="1"/>
  <c r="Z66" i="16"/>
  <c r="Y68" i="16"/>
  <c r="S97" i="12"/>
  <c r="T89" i="12"/>
  <c r="X50" i="16"/>
  <c r="W127" i="16"/>
  <c r="U145" i="2"/>
  <c r="U120" i="2"/>
  <c r="U166" i="2" s="1"/>
  <c r="U126" i="16"/>
  <c r="U128" i="16" s="1"/>
  <c r="Z36" i="12"/>
  <c r="Y46" i="12"/>
  <c r="V84" i="17"/>
  <c r="V76" i="17"/>
  <c r="V29" i="17"/>
  <c r="V28" i="17"/>
  <c r="V121" i="17"/>
  <c r="Z58" i="16"/>
  <c r="Y61" i="16"/>
  <c r="AA65" i="16"/>
  <c r="Z67" i="16"/>
  <c r="AC225" i="12"/>
  <c r="AC224" i="12" s="1"/>
  <c r="AB224" i="12"/>
  <c r="W69" i="2"/>
  <c r="W169" i="16"/>
  <c r="Y23" i="16"/>
  <c r="Y68" i="2" s="1"/>
  <c r="X92" i="16"/>
  <c r="X82" i="16"/>
  <c r="X112" i="16"/>
  <c r="X85" i="16"/>
  <c r="X113" i="16" s="1"/>
  <c r="X75" i="2"/>
  <c r="X84" i="16"/>
  <c r="X120" i="16"/>
  <c r="X93" i="16"/>
  <c r="X119" i="16" s="1"/>
  <c r="X87" i="16"/>
  <c r="X83" i="16"/>
  <c r="X111" i="16" s="1"/>
  <c r="X95" i="16"/>
  <c r="X121" i="16" s="1"/>
  <c r="V71" i="17"/>
  <c r="M161" i="2"/>
  <c r="V30" i="17"/>
  <c r="V31" i="17" s="1"/>
  <c r="V145" i="17"/>
  <c r="V147" i="17" s="1"/>
  <c r="V148" i="17" s="1"/>
  <c r="V155" i="17" s="1"/>
  <c r="Y72" i="16"/>
  <c r="X73" i="16"/>
  <c r="X94" i="16" s="1"/>
  <c r="X124" i="16"/>
  <c r="Y48" i="16"/>
  <c r="X99" i="16"/>
  <c r="AB236" i="12"/>
  <c r="AA235" i="12"/>
  <c r="P47" i="17"/>
  <c r="AB150" i="2"/>
  <c r="AA169" i="2"/>
  <c r="AB146" i="2"/>
  <c r="AB41" i="16"/>
  <c r="AA44" i="16"/>
  <c r="AA43" i="16"/>
  <c r="AA42" i="16"/>
  <c r="AA31" i="16"/>
  <c r="Z35" i="16"/>
  <c r="AA137" i="16"/>
  <c r="Z153" i="16"/>
  <c r="AA29" i="16"/>
  <c r="Z38" i="16"/>
  <c r="AA139" i="16"/>
  <c r="Z155" i="16"/>
  <c r="Z152" i="16"/>
  <c r="AA136" i="16"/>
  <c r="Y160" i="16"/>
  <c r="Y128" i="2"/>
  <c r="Y166" i="16"/>
  <c r="AA138" i="16"/>
  <c r="Z164" i="16"/>
  <c r="Y165" i="16"/>
  <c r="Y126" i="2" s="1"/>
  <c r="Y81" i="2"/>
  <c r="AA28" i="16"/>
  <c r="X125" i="2"/>
  <c r="X168" i="16"/>
  <c r="AA26" i="16"/>
  <c r="Z159" i="16"/>
  <c r="Z83" i="2"/>
  <c r="Z84" i="2" s="1"/>
  <c r="Z37" i="16"/>
  <c r="Z39" i="16"/>
  <c r="X129" i="2"/>
  <c r="X167" i="16"/>
  <c r="Y162" i="16"/>
  <c r="Y79" i="2"/>
  <c r="Y163" i="16"/>
  <c r="Y127" i="2" s="1"/>
  <c r="Y82" i="2"/>
  <c r="AA32" i="16"/>
  <c r="AA151" i="16"/>
  <c r="AA27" i="16"/>
  <c r="Z36" i="16"/>
  <c r="AB141" i="2"/>
  <c r="W25" i="17" l="1"/>
  <c r="Q139" i="2"/>
  <c r="P168" i="2"/>
  <c r="P52" i="17"/>
  <c r="AA69" i="12"/>
  <c r="Z70" i="12"/>
  <c r="Z79" i="12"/>
  <c r="Z80" i="12" s="1"/>
  <c r="R90" i="17"/>
  <c r="Y71" i="12"/>
  <c r="R88" i="2" s="1"/>
  <c r="R40" i="17"/>
  <c r="Q54" i="17"/>
  <c r="Q55" i="17" s="1"/>
  <c r="Q56" i="17" s="1"/>
  <c r="Q57" i="17" s="1"/>
  <c r="Q61" i="17" s="1"/>
  <c r="Q41" i="17"/>
  <c r="Q42" i="17" s="1"/>
  <c r="Q49" i="17"/>
  <c r="Q50" i="17" s="1"/>
  <c r="Q51" i="17" s="1"/>
  <c r="Q44" i="17"/>
  <c r="Q45" i="17" s="1"/>
  <c r="Q46" i="17" s="1"/>
  <c r="Q47" i="17" s="1"/>
  <c r="P166" i="17"/>
  <c r="Q104" i="17"/>
  <c r="Q105" i="17" s="1"/>
  <c r="Q106" i="17" s="1"/>
  <c r="Q99" i="17"/>
  <c r="Q100" i="17" s="1"/>
  <c r="Q101" i="17" s="1"/>
  <c r="Q102" i="17" s="1"/>
  <c r="Q94" i="17"/>
  <c r="Q95" i="17" s="1"/>
  <c r="Q96" i="17" s="1"/>
  <c r="Q97" i="17" s="1"/>
  <c r="Q91" i="17"/>
  <c r="Q92" i="17" s="1"/>
  <c r="Y38" i="12"/>
  <c r="Y39" i="12" s="1"/>
  <c r="Y47" i="12"/>
  <c r="Y48" i="12" s="1"/>
  <c r="X26" i="17" s="1"/>
  <c r="X27" i="17" s="1"/>
  <c r="N50" i="2"/>
  <c r="N51" i="2" s="1"/>
  <c r="N98" i="2" s="1"/>
  <c r="N161" i="2" s="1"/>
  <c r="M154" i="2"/>
  <c r="M156" i="2" s="1"/>
  <c r="P59" i="17"/>
  <c r="Y98" i="16"/>
  <c r="Y123" i="16" s="1"/>
  <c r="O160" i="17"/>
  <c r="O48" i="2" s="1"/>
  <c r="O50" i="2" s="1"/>
  <c r="O51" i="2" s="1"/>
  <c r="O98" i="2" s="1"/>
  <c r="P23" i="17"/>
  <c r="Q19" i="17"/>
  <c r="Q18" i="17"/>
  <c r="Q20" i="17"/>
  <c r="Q21" i="17" s="1"/>
  <c r="Z37" i="12"/>
  <c r="Z43" i="12"/>
  <c r="AA33" i="12"/>
  <c r="Y88" i="16"/>
  <c r="Y115" i="16" s="1"/>
  <c r="U163" i="17"/>
  <c r="U54" i="2" s="1"/>
  <c r="U101" i="2" s="1"/>
  <c r="Y116" i="16"/>
  <c r="V83" i="17"/>
  <c r="X116" i="2"/>
  <c r="R16" i="17"/>
  <c r="R17" i="17" s="1"/>
  <c r="O162" i="17"/>
  <c r="O53" i="2" s="1"/>
  <c r="O55" i="2" s="1"/>
  <c r="O56" i="2" s="1"/>
  <c r="O103" i="2" s="1"/>
  <c r="N100" i="2"/>
  <c r="N102" i="2" s="1"/>
  <c r="O115" i="17"/>
  <c r="O116" i="17" s="1"/>
  <c r="M160" i="2"/>
  <c r="Y70" i="2"/>
  <c r="L156" i="2"/>
  <c r="L155" i="2"/>
  <c r="L162" i="2"/>
  <c r="L159" i="2" s="1"/>
  <c r="V128" i="17"/>
  <c r="P22" i="17"/>
  <c r="W118" i="2"/>
  <c r="X69" i="2"/>
  <c r="X127" i="16"/>
  <c r="X104" i="16"/>
  <c r="X103" i="16"/>
  <c r="X74" i="2"/>
  <c r="X76" i="2" s="1"/>
  <c r="Y72" i="2"/>
  <c r="X117" i="2"/>
  <c r="P109" i="17"/>
  <c r="X101" i="16"/>
  <c r="X108" i="16" s="1"/>
  <c r="X125" i="16" s="1"/>
  <c r="X71" i="2"/>
  <c r="Y89" i="16"/>
  <c r="X67" i="2"/>
  <c r="X115" i="2"/>
  <c r="U161" i="17"/>
  <c r="U49" i="2" s="1"/>
  <c r="U96" i="2" s="1"/>
  <c r="U98" i="12"/>
  <c r="V90" i="12"/>
  <c r="AB34" i="12"/>
  <c r="AA44" i="12"/>
  <c r="Z23" i="16"/>
  <c r="Z68" i="2" s="1"/>
  <c r="Y92" i="16"/>
  <c r="Y82" i="16"/>
  <c r="Y95" i="16"/>
  <c r="Y121" i="16" s="1"/>
  <c r="Y120" i="16"/>
  <c r="Y112" i="16"/>
  <c r="Y84" i="16"/>
  <c r="Y85" i="16"/>
  <c r="Y113" i="16" s="1"/>
  <c r="Y87" i="16"/>
  <c r="Y83" i="16"/>
  <c r="Y111" i="16" s="1"/>
  <c r="Y75" i="2"/>
  <c r="Y93" i="16"/>
  <c r="Y119" i="16" s="1"/>
  <c r="W119" i="2"/>
  <c r="W109" i="16"/>
  <c r="W125" i="16"/>
  <c r="Y97" i="16"/>
  <c r="O167" i="2"/>
  <c r="V32" i="17"/>
  <c r="V165" i="17" s="1"/>
  <c r="V59" i="2" s="1"/>
  <c r="V106" i="2" s="1"/>
  <c r="V33" i="17"/>
  <c r="P144" i="2"/>
  <c r="P156" i="17"/>
  <c r="W145" i="17"/>
  <c r="W147" i="17" s="1"/>
  <c r="W148" i="17" s="1"/>
  <c r="W155" i="17" s="1"/>
  <c r="W30" i="17"/>
  <c r="W31" i="17" s="1"/>
  <c r="Y124" i="16"/>
  <c r="Z48" i="16"/>
  <c r="Y99" i="16"/>
  <c r="AA36" i="12"/>
  <c r="Z46" i="12"/>
  <c r="V120" i="2"/>
  <c r="V126" i="16"/>
  <c r="V128" i="16" s="1"/>
  <c r="AA46" i="16"/>
  <c r="AA47" i="16" s="1"/>
  <c r="Z49" i="16"/>
  <c r="X102" i="16"/>
  <c r="AB65" i="16"/>
  <c r="AA67" i="16"/>
  <c r="S15" i="17"/>
  <c r="AA57" i="16"/>
  <c r="Z60" i="16"/>
  <c r="AB145" i="16"/>
  <c r="AA146" i="16"/>
  <c r="AA154" i="16" s="1"/>
  <c r="Q137" i="17"/>
  <c r="Q138" i="17" s="1"/>
  <c r="Q154" i="17" s="1"/>
  <c r="V95" i="12"/>
  <c r="W87" i="12"/>
  <c r="W92" i="12" s="1"/>
  <c r="W71" i="17"/>
  <c r="W121" i="17"/>
  <c r="T96" i="12"/>
  <c r="U88" i="12"/>
  <c r="AA56" i="16"/>
  <c r="Z59" i="16"/>
  <c r="Y90" i="16"/>
  <c r="Y117" i="16" s="1"/>
  <c r="Y50" i="16"/>
  <c r="AB235" i="12"/>
  <c r="AC236" i="12"/>
  <c r="AC235" i="12" s="1"/>
  <c r="Y73" i="16"/>
  <c r="Y94" i="16" s="1"/>
  <c r="Z72" i="16"/>
  <c r="AA58" i="16"/>
  <c r="Z61" i="16"/>
  <c r="U89" i="12"/>
  <c r="T97" i="12"/>
  <c r="W84" i="17"/>
  <c r="W76" i="17"/>
  <c r="Y64" i="17"/>
  <c r="Y114" i="17"/>
  <c r="Z57" i="12"/>
  <c r="W126" i="17"/>
  <c r="W129" i="17"/>
  <c r="X78" i="17"/>
  <c r="X79" i="17" s="1"/>
  <c r="X80" i="17" s="1"/>
  <c r="X81" i="17" s="1"/>
  <c r="X85" i="17" s="1"/>
  <c r="X167" i="17" s="1"/>
  <c r="X62" i="2" s="1"/>
  <c r="X110" i="2" s="1"/>
  <c r="X68" i="17"/>
  <c r="X69" i="17" s="1"/>
  <c r="X70" i="17" s="1"/>
  <c r="X73" i="17"/>
  <c r="X74" i="17" s="1"/>
  <c r="X75" i="17" s="1"/>
  <c r="X65" i="17"/>
  <c r="X66" i="17" s="1"/>
  <c r="Z138" i="2"/>
  <c r="AC152" i="17"/>
  <c r="AC142" i="17"/>
  <c r="AA66" i="16"/>
  <c r="Z68" i="16"/>
  <c r="AD35" i="12"/>
  <c r="AD45" i="12" s="1"/>
  <c r="AC45" i="12"/>
  <c r="V145" i="2"/>
  <c r="AB152" i="17"/>
  <c r="AB142" i="17"/>
  <c r="W29" i="17"/>
  <c r="W28" i="17"/>
  <c r="AB51" i="12"/>
  <c r="AB56" i="12" s="1"/>
  <c r="X118" i="17"/>
  <c r="X119" i="17" s="1"/>
  <c r="X120" i="17" s="1"/>
  <c r="X123" i="17"/>
  <c r="X124" i="17" s="1"/>
  <c r="X125" i="17" s="1"/>
  <c r="AC150" i="2"/>
  <c r="AC169" i="2" s="1"/>
  <c r="AB169" i="2"/>
  <c r="AC146" i="2"/>
  <c r="X169" i="16"/>
  <c r="AB43" i="16"/>
  <c r="AB44" i="16"/>
  <c r="AB42" i="16"/>
  <c r="AC41" i="16"/>
  <c r="AC151" i="16"/>
  <c r="AB151" i="16"/>
  <c r="AB32" i="16"/>
  <c r="AA38" i="16"/>
  <c r="AB138" i="16"/>
  <c r="AA164" i="16"/>
  <c r="AA37" i="16"/>
  <c r="AB28" i="16"/>
  <c r="AB136" i="16"/>
  <c r="AA152" i="16"/>
  <c r="AB29" i="16"/>
  <c r="AA35" i="16"/>
  <c r="Y125" i="2"/>
  <c r="Y168" i="16"/>
  <c r="AA36" i="16"/>
  <c r="Z162" i="16"/>
  <c r="Z79" i="2"/>
  <c r="Z163" i="16"/>
  <c r="Z127" i="2" s="1"/>
  <c r="Z82" i="2"/>
  <c r="AB26" i="16"/>
  <c r="Y129" i="2"/>
  <c r="Y167" i="16"/>
  <c r="Z165" i="16"/>
  <c r="Z126" i="2" s="1"/>
  <c r="Z81" i="2"/>
  <c r="AA153" i="16"/>
  <c r="AB137" i="16"/>
  <c r="AB27" i="16"/>
  <c r="AC27" i="16" s="1"/>
  <c r="AA39" i="16"/>
  <c r="AA159" i="16"/>
  <c r="AA83" i="2"/>
  <c r="AA84" i="2" s="1"/>
  <c r="AB31" i="16"/>
  <c r="AC31" i="16" s="1"/>
  <c r="Z128" i="2"/>
  <c r="Z160" i="16"/>
  <c r="Z166" i="16"/>
  <c r="AB139" i="16"/>
  <c r="AA155" i="16"/>
  <c r="AB30" i="16"/>
  <c r="AC30" i="16" s="1"/>
  <c r="AC141" i="2"/>
  <c r="Q52" i="17" l="1"/>
  <c r="Q60" i="17"/>
  <c r="S40" i="17"/>
  <c r="S90" i="17"/>
  <c r="Z71" i="12"/>
  <c r="S88" i="2" s="1"/>
  <c r="AB69" i="12"/>
  <c r="AA70" i="12"/>
  <c r="AA79" i="12"/>
  <c r="AA80" i="12" s="1"/>
  <c r="Q166" i="17"/>
  <c r="Q107" i="17"/>
  <c r="Q111" i="17" s="1"/>
  <c r="R99" i="17"/>
  <c r="R100" i="17" s="1"/>
  <c r="R101" i="17" s="1"/>
  <c r="R104" i="17"/>
  <c r="R105" i="17" s="1"/>
  <c r="R106" i="17" s="1"/>
  <c r="R94" i="17"/>
  <c r="R95" i="17" s="1"/>
  <c r="R96" i="17" s="1"/>
  <c r="R97" i="17" s="1"/>
  <c r="R91" i="17"/>
  <c r="R92" i="17" s="1"/>
  <c r="Q109" i="17"/>
  <c r="Q115" i="17" s="1"/>
  <c r="Q116" i="17" s="1"/>
  <c r="N154" i="2"/>
  <c r="N155" i="2" s="1"/>
  <c r="Q110" i="17"/>
  <c r="M162" i="2"/>
  <c r="M159" i="2" s="1"/>
  <c r="Q59" i="17"/>
  <c r="R44" i="17"/>
  <c r="R45" i="17" s="1"/>
  <c r="R46" i="17" s="1"/>
  <c r="R47" i="17" s="1"/>
  <c r="R54" i="17"/>
  <c r="R55" i="17" s="1"/>
  <c r="R56" i="17" s="1"/>
  <c r="R57" i="17" s="1"/>
  <c r="R61" i="17" s="1"/>
  <c r="R41" i="17"/>
  <c r="R42" i="17" s="1"/>
  <c r="R49" i="17"/>
  <c r="R50" i="17" s="1"/>
  <c r="R51" i="17" s="1"/>
  <c r="S41" i="17"/>
  <c r="S42" i="17" s="1"/>
  <c r="R139" i="2"/>
  <c r="Q168" i="2"/>
  <c r="O95" i="2"/>
  <c r="O97" i="2" s="1"/>
  <c r="Z38" i="12"/>
  <c r="Z39" i="12" s="1"/>
  <c r="Z47" i="12"/>
  <c r="Z48" i="12" s="1"/>
  <c r="Y25" i="17" s="1"/>
  <c r="M155" i="2"/>
  <c r="Q23" i="17"/>
  <c r="X25" i="17"/>
  <c r="X30" i="17" s="1"/>
  <c r="X31" i="17" s="1"/>
  <c r="Z50" i="16"/>
  <c r="R18" i="17"/>
  <c r="V163" i="17"/>
  <c r="V54" i="2" s="1"/>
  <c r="V101" i="2" s="1"/>
  <c r="X119" i="2"/>
  <c r="R19" i="17"/>
  <c r="Q22" i="17"/>
  <c r="Q164" i="17" s="1"/>
  <c r="Q58" i="2" s="1"/>
  <c r="Q105" i="2" s="1"/>
  <c r="Q107" i="2" s="1"/>
  <c r="AA37" i="12"/>
  <c r="AA43" i="12"/>
  <c r="AB33" i="12"/>
  <c r="Z88" i="16"/>
  <c r="Z115" i="16" s="1"/>
  <c r="R20" i="17"/>
  <c r="R21" i="17" s="1"/>
  <c r="R137" i="17"/>
  <c r="R138" i="17" s="1"/>
  <c r="R154" i="17" s="1"/>
  <c r="R156" i="17" s="1"/>
  <c r="V161" i="17"/>
  <c r="V49" i="2" s="1"/>
  <c r="V96" i="2" s="1"/>
  <c r="Y115" i="2"/>
  <c r="Z90" i="16"/>
  <c r="Z117" i="16" s="1"/>
  <c r="Z72" i="2"/>
  <c r="P160" i="17"/>
  <c r="P48" i="2" s="1"/>
  <c r="P50" i="2" s="1"/>
  <c r="P51" i="2" s="1"/>
  <c r="P98" i="2" s="1"/>
  <c r="O100" i="2"/>
  <c r="O102" i="2" s="1"/>
  <c r="N165" i="2"/>
  <c r="N171" i="2" s="1"/>
  <c r="N160" i="2"/>
  <c r="X109" i="16"/>
  <c r="X120" i="2" s="1"/>
  <c r="X118" i="2"/>
  <c r="Z70" i="2"/>
  <c r="P162" i="17"/>
  <c r="P53" i="2" s="1"/>
  <c r="P55" i="2" s="1"/>
  <c r="P56" i="2" s="1"/>
  <c r="P103" i="2" s="1"/>
  <c r="Z116" i="16"/>
  <c r="Y67" i="2"/>
  <c r="Z89" i="16"/>
  <c r="Z97" i="16"/>
  <c r="Y102" i="16"/>
  <c r="P115" i="17"/>
  <c r="P116" i="17" s="1"/>
  <c r="Z98" i="16"/>
  <c r="Z123" i="16" s="1"/>
  <c r="Y116" i="2"/>
  <c r="Y69" i="2"/>
  <c r="P164" i="17"/>
  <c r="P58" i="2" s="1"/>
  <c r="P105" i="2" s="1"/>
  <c r="P107" i="2" s="1"/>
  <c r="Y127" i="16"/>
  <c r="Y104" i="16"/>
  <c r="Y117" i="2"/>
  <c r="W128" i="17"/>
  <c r="Y71" i="2"/>
  <c r="AB44" i="12"/>
  <c r="AC34" i="12"/>
  <c r="W83" i="17"/>
  <c r="W90" i="12"/>
  <c r="V98" i="12"/>
  <c r="Y103" i="16"/>
  <c r="X129" i="17"/>
  <c r="X126" i="17"/>
  <c r="AC51" i="12"/>
  <c r="AC56" i="12" s="1"/>
  <c r="Y78" i="17"/>
  <c r="Y79" i="17" s="1"/>
  <c r="Y80" i="17" s="1"/>
  <c r="Y81" i="17" s="1"/>
  <c r="Y85" i="17" s="1"/>
  <c r="Y167" i="17" s="1"/>
  <c r="Y62" i="2" s="1"/>
  <c r="Y110" i="2" s="1"/>
  <c r="Y68" i="17"/>
  <c r="Y69" i="17" s="1"/>
  <c r="Y70" i="17" s="1"/>
  <c r="Y73" i="17"/>
  <c r="Y74" i="17" s="1"/>
  <c r="Y75" i="17" s="1"/>
  <c r="Y65" i="17"/>
  <c r="Y66" i="17" s="1"/>
  <c r="V166" i="2"/>
  <c r="W32" i="17"/>
  <c r="W165" i="17" s="1"/>
  <c r="W59" i="2" s="1"/>
  <c r="W106" i="2" s="1"/>
  <c r="W33" i="17"/>
  <c r="AA138" i="2"/>
  <c r="Z73" i="16"/>
  <c r="Z94" i="16" s="1"/>
  <c r="AA72" i="16"/>
  <c r="AB36" i="12"/>
  <c r="AA46" i="12"/>
  <c r="W145" i="2"/>
  <c r="X87" i="12"/>
  <c r="X92" i="12" s="1"/>
  <c r="W95" i="12"/>
  <c r="AB58" i="16"/>
  <c r="AA61" i="16"/>
  <c r="AA59" i="16"/>
  <c r="AB56" i="16"/>
  <c r="X29" i="17"/>
  <c r="X28" i="17"/>
  <c r="Q144" i="2"/>
  <c r="Q156" i="17"/>
  <c r="O161" i="2"/>
  <c r="X121" i="17"/>
  <c r="AB57" i="16"/>
  <c r="AA60" i="16"/>
  <c r="X84" i="17"/>
  <c r="X76" i="17"/>
  <c r="V88" i="12"/>
  <c r="U96" i="12"/>
  <c r="AA49" i="16"/>
  <c r="AB46" i="16"/>
  <c r="Z124" i="16"/>
  <c r="Z99" i="16"/>
  <c r="AA48" i="16"/>
  <c r="P167" i="2"/>
  <c r="Y101" i="16"/>
  <c r="Y108" i="16" s="1"/>
  <c r="Z114" i="17"/>
  <c r="AA57" i="12"/>
  <c r="Z64" i="17"/>
  <c r="S135" i="17"/>
  <c r="S16" i="17"/>
  <c r="S17" i="17" s="1"/>
  <c r="X71" i="17"/>
  <c r="U97" i="12"/>
  <c r="V89" i="12"/>
  <c r="T15" i="17"/>
  <c r="AB67" i="16"/>
  <c r="AC65" i="16"/>
  <c r="AC67" i="16" s="1"/>
  <c r="Y74" i="2"/>
  <c r="Y76" i="2" s="1"/>
  <c r="AB66" i="16"/>
  <c r="AA68" i="16"/>
  <c r="Y123" i="17"/>
  <c r="Y124" i="17" s="1"/>
  <c r="Y125" i="17" s="1"/>
  <c r="Y118" i="17"/>
  <c r="Y119" i="17" s="1"/>
  <c r="Y120" i="17" s="1"/>
  <c r="AB146" i="16"/>
  <c r="AB154" i="16" s="1"/>
  <c r="AC145" i="16"/>
  <c r="AC146" i="16" s="1"/>
  <c r="W120" i="2"/>
  <c r="W126" i="16"/>
  <c r="W128" i="16" s="1"/>
  <c r="AA23" i="16"/>
  <c r="AA116" i="16" s="1"/>
  <c r="Z92" i="16"/>
  <c r="Z95" i="16"/>
  <c r="Z121" i="16" s="1"/>
  <c r="Z93" i="16"/>
  <c r="Z119" i="16" s="1"/>
  <c r="Z83" i="16"/>
  <c r="Z111" i="16" s="1"/>
  <c r="Z85" i="16"/>
  <c r="Z113" i="16" s="1"/>
  <c r="Z112" i="16"/>
  <c r="Z84" i="16"/>
  <c r="Z120" i="16"/>
  <c r="Z87" i="16"/>
  <c r="Z82" i="16"/>
  <c r="Z75" i="2"/>
  <c r="Y169" i="16"/>
  <c r="AC42" i="16"/>
  <c r="AC43" i="16"/>
  <c r="AC44" i="16"/>
  <c r="AC28" i="16"/>
  <c r="Z125" i="2"/>
  <c r="Z168" i="16"/>
  <c r="AA162" i="16"/>
  <c r="AA79" i="2"/>
  <c r="AC29" i="16"/>
  <c r="AC136" i="16"/>
  <c r="AC152" i="16" s="1"/>
  <c r="AB152" i="16"/>
  <c r="AA128" i="2"/>
  <c r="AA160" i="16"/>
  <c r="AA166" i="16"/>
  <c r="AB39" i="16"/>
  <c r="Z129" i="2"/>
  <c r="Z167" i="16"/>
  <c r="AC138" i="16"/>
  <c r="AB164" i="16"/>
  <c r="AC32" i="16"/>
  <c r="AB37" i="16"/>
  <c r="AC137" i="16"/>
  <c r="AB153" i="16"/>
  <c r="AA165" i="16"/>
  <c r="AA126" i="2" s="1"/>
  <c r="AA81" i="2"/>
  <c r="AA163" i="16"/>
  <c r="AA127" i="2" s="1"/>
  <c r="AA82" i="2"/>
  <c r="AC26" i="16"/>
  <c r="AB36" i="16"/>
  <c r="AC36" i="16" s="1"/>
  <c r="AB35" i="16"/>
  <c r="AB38" i="16"/>
  <c r="AC38" i="16" s="1"/>
  <c r="AB159" i="16"/>
  <c r="AB83" i="2"/>
  <c r="AB84" i="2" s="1"/>
  <c r="AC139" i="16"/>
  <c r="AC155" i="16" s="1"/>
  <c r="AB155" i="16"/>
  <c r="AC159" i="16"/>
  <c r="AC83" i="2"/>
  <c r="AC84" i="2" s="1"/>
  <c r="R144" i="2" l="1"/>
  <c r="R167" i="2" s="1"/>
  <c r="S137" i="17"/>
  <c r="S138" i="17" s="1"/>
  <c r="S154" i="17" s="1"/>
  <c r="S144" i="2" s="1"/>
  <c r="N162" i="2"/>
  <c r="N159" i="2" s="1"/>
  <c r="O165" i="2"/>
  <c r="O171" i="2" s="1"/>
  <c r="Q162" i="17"/>
  <c r="Q53" i="2" s="1"/>
  <c r="Q100" i="2" s="1"/>
  <c r="Q102" i="2" s="1"/>
  <c r="Y26" i="17"/>
  <c r="Y27" i="17" s="1"/>
  <c r="N156" i="2"/>
  <c r="R110" i="17"/>
  <c r="R102" i="17"/>
  <c r="T90" i="17"/>
  <c r="T91" i="17" s="1"/>
  <c r="T92" i="17" s="1"/>
  <c r="T40" i="17"/>
  <c r="AA71" i="12"/>
  <c r="T88" i="2" s="1"/>
  <c r="AC69" i="12"/>
  <c r="AB79" i="12"/>
  <c r="AB80" i="12" s="1"/>
  <c r="AB70" i="12"/>
  <c r="Q160" i="17"/>
  <c r="Q48" i="2" s="1"/>
  <c r="Q95" i="2" s="1"/>
  <c r="Q97" i="2" s="1"/>
  <c r="Q160" i="2" s="1"/>
  <c r="S99" i="17"/>
  <c r="S100" i="17" s="1"/>
  <c r="S101" i="17" s="1"/>
  <c r="S102" i="17" s="1"/>
  <c r="S104" i="17"/>
  <c r="S105" i="17" s="1"/>
  <c r="S106" i="17" s="1"/>
  <c r="S94" i="17"/>
  <c r="S95" i="17" s="1"/>
  <c r="S96" i="17" s="1"/>
  <c r="S97" i="17" s="1"/>
  <c r="S54" i="17"/>
  <c r="S55" i="17" s="1"/>
  <c r="S56" i="17" s="1"/>
  <c r="S57" i="17" s="1"/>
  <c r="S61" i="17" s="1"/>
  <c r="S44" i="17"/>
  <c r="S45" i="17" s="1"/>
  <c r="S46" i="17" s="1"/>
  <c r="S47" i="17" s="1"/>
  <c r="S49" i="17"/>
  <c r="S50" i="17" s="1"/>
  <c r="S51" i="17" s="1"/>
  <c r="S52" i="17" s="1"/>
  <c r="R52" i="17"/>
  <c r="R59" i="17" s="1"/>
  <c r="R60" i="17"/>
  <c r="S60" i="17" s="1"/>
  <c r="R166" i="17"/>
  <c r="R107" i="17"/>
  <c r="R111" i="17" s="1"/>
  <c r="S139" i="2"/>
  <c r="R168" i="2"/>
  <c r="S91" i="17"/>
  <c r="S92" i="17" s="1"/>
  <c r="X145" i="17"/>
  <c r="X147" i="17" s="1"/>
  <c r="X148" i="17" s="1"/>
  <c r="X155" i="17" s="1"/>
  <c r="X145" i="2" s="1"/>
  <c r="R23" i="17"/>
  <c r="P95" i="2"/>
  <c r="P97" i="2" s="1"/>
  <c r="P165" i="2" s="1"/>
  <c r="P171" i="2" s="1"/>
  <c r="AA38" i="12"/>
  <c r="AA39" i="12" s="1"/>
  <c r="AA47" i="12"/>
  <c r="AA48" i="12" s="1"/>
  <c r="Z26" i="17" s="1"/>
  <c r="Z27" i="17" s="1"/>
  <c r="P100" i="2"/>
  <c r="P102" i="2" s="1"/>
  <c r="X166" i="2"/>
  <c r="R22" i="17"/>
  <c r="O154" i="2"/>
  <c r="O155" i="2" s="1"/>
  <c r="O160" i="2"/>
  <c r="X126" i="16"/>
  <c r="X128" i="16" s="1"/>
  <c r="AB37" i="12"/>
  <c r="AC33" i="12"/>
  <c r="AB43" i="12"/>
  <c r="Y118" i="2"/>
  <c r="W163" i="17"/>
  <c r="W54" i="2" s="1"/>
  <c r="W101" i="2" s="1"/>
  <c r="AA68" i="2"/>
  <c r="Z117" i="2"/>
  <c r="Z116" i="2"/>
  <c r="Z71" i="2"/>
  <c r="Z115" i="2"/>
  <c r="AA97" i="16"/>
  <c r="AA88" i="16"/>
  <c r="AA115" i="16" s="1"/>
  <c r="AA98" i="16"/>
  <c r="AA123" i="16" s="1"/>
  <c r="AA70" i="2"/>
  <c r="AA90" i="16"/>
  <c r="AA117" i="16" s="1"/>
  <c r="Z103" i="16"/>
  <c r="W161" i="17"/>
  <c r="W49" i="2" s="1"/>
  <c r="W96" i="2" s="1"/>
  <c r="AD34" i="12"/>
  <c r="AD44" i="12" s="1"/>
  <c r="AC44" i="12"/>
  <c r="X83" i="17"/>
  <c r="Z102" i="16"/>
  <c r="Z67" i="2"/>
  <c r="Z127" i="16"/>
  <c r="X128" i="17"/>
  <c r="AC153" i="16"/>
  <c r="AC82" i="2" s="1"/>
  <c r="AA72" i="2"/>
  <c r="AA89" i="16"/>
  <c r="U15" i="17"/>
  <c r="X90" i="12"/>
  <c r="W98" i="12"/>
  <c r="S20" i="17"/>
  <c r="S21" i="17" s="1"/>
  <c r="AC46" i="16"/>
  <c r="AC58" i="16"/>
  <c r="AC61" i="16" s="1"/>
  <c r="AB61" i="16"/>
  <c r="AC36" i="12"/>
  <c r="AB46" i="12"/>
  <c r="Y76" i="17"/>
  <c r="Y84" i="17"/>
  <c r="Y121" i="17"/>
  <c r="AD51" i="12"/>
  <c r="AD56" i="12" s="1"/>
  <c r="P161" i="2"/>
  <c r="S19" i="17"/>
  <c r="S18" i="17"/>
  <c r="Z104" i="16"/>
  <c r="Z101" i="16"/>
  <c r="Z108" i="16" s="1"/>
  <c r="Z74" i="2"/>
  <c r="Z76" i="2" s="1"/>
  <c r="AC66" i="16"/>
  <c r="AC68" i="16" s="1"/>
  <c r="AB68" i="16"/>
  <c r="Y109" i="16"/>
  <c r="Y125" i="16"/>
  <c r="Y119" i="2"/>
  <c r="AB49" i="16"/>
  <c r="Y71" i="17"/>
  <c r="W166" i="2"/>
  <c r="AC57" i="16"/>
  <c r="AC60" i="16" s="1"/>
  <c r="AB60" i="16"/>
  <c r="T135" i="17"/>
  <c r="T137" i="17" s="1"/>
  <c r="T138" i="17" s="1"/>
  <c r="T154" i="17" s="1"/>
  <c r="T16" i="17"/>
  <c r="T17" i="17" s="1"/>
  <c r="AB72" i="16"/>
  <c r="AA73" i="16"/>
  <c r="AA94" i="16" s="1"/>
  <c r="AB138" i="2"/>
  <c r="Y126" i="17"/>
  <c r="Y129" i="17"/>
  <c r="V97" i="12"/>
  <c r="W89" i="12"/>
  <c r="X95" i="12"/>
  <c r="Y87" i="12"/>
  <c r="Y92" i="12" s="1"/>
  <c r="Z118" i="17"/>
  <c r="Z119" i="17" s="1"/>
  <c r="Z120" i="17" s="1"/>
  <c r="Z123" i="17"/>
  <c r="Z124" i="17" s="1"/>
  <c r="Z125" i="17" s="1"/>
  <c r="AB23" i="16"/>
  <c r="AB116" i="16" s="1"/>
  <c r="AA92" i="16"/>
  <c r="AA82" i="16"/>
  <c r="AA93" i="16"/>
  <c r="AA119" i="16" s="1"/>
  <c r="AA75" i="2"/>
  <c r="AA84" i="16"/>
  <c r="AA112" i="16"/>
  <c r="AA85" i="16"/>
  <c r="AA113" i="16" s="1"/>
  <c r="AA83" i="16"/>
  <c r="AA111" i="16" s="1"/>
  <c r="AA120" i="16"/>
  <c r="AA87" i="16"/>
  <c r="AA95" i="16"/>
  <c r="AA121" i="16" s="1"/>
  <c r="AA124" i="16"/>
  <c r="AA99" i="16"/>
  <c r="AB48" i="16"/>
  <c r="AB72" i="2" s="1"/>
  <c r="W88" i="12"/>
  <c r="V96" i="12"/>
  <c r="X32" i="17"/>
  <c r="X165" i="17" s="1"/>
  <c r="X59" i="2" s="1"/>
  <c r="X106" i="2" s="1"/>
  <c r="X33" i="17"/>
  <c r="Y29" i="17"/>
  <c r="Y28" i="17"/>
  <c r="Z69" i="2"/>
  <c r="AB47" i="16"/>
  <c r="AA50" i="16"/>
  <c r="Z78" i="17"/>
  <c r="Z79" i="17" s="1"/>
  <c r="Z80" i="17" s="1"/>
  <c r="Z81" i="17" s="1"/>
  <c r="Z85" i="17" s="1"/>
  <c r="Z167" i="17" s="1"/>
  <c r="Z62" i="2" s="1"/>
  <c r="Z110" i="2" s="1"/>
  <c r="Z68" i="17"/>
  <c r="Z69" i="17" s="1"/>
  <c r="Z70" i="17" s="1"/>
  <c r="Z73" i="17"/>
  <c r="Z74" i="17" s="1"/>
  <c r="Z75" i="17" s="1"/>
  <c r="Z65" i="17"/>
  <c r="Z66" i="17" s="1"/>
  <c r="Q167" i="2"/>
  <c r="AB59" i="16"/>
  <c r="AC56" i="16"/>
  <c r="AC59" i="16" s="1"/>
  <c r="Y30" i="17"/>
  <c r="Y31" i="17" s="1"/>
  <c r="Y145" i="17"/>
  <c r="AA114" i="17"/>
  <c r="AA64" i="17"/>
  <c r="AB57" i="12"/>
  <c r="Z169" i="16"/>
  <c r="AB162" i="16"/>
  <c r="AB79" i="2"/>
  <c r="AC35" i="16"/>
  <c r="AC162" i="16"/>
  <c r="AC79" i="2"/>
  <c r="AC128" i="2"/>
  <c r="AC160" i="16"/>
  <c r="AC166" i="16"/>
  <c r="AB163" i="16"/>
  <c r="AB127" i="2" s="1"/>
  <c r="AB82" i="2"/>
  <c r="AC39" i="16"/>
  <c r="AC37" i="16"/>
  <c r="AC165" i="16"/>
  <c r="AC126" i="2" s="1"/>
  <c r="AC81" i="2"/>
  <c r="AB128" i="2"/>
  <c r="AB160" i="16"/>
  <c r="AB166" i="16"/>
  <c r="AC164" i="16"/>
  <c r="AC154" i="16"/>
  <c r="AB165" i="16"/>
  <c r="AB126" i="2" s="1"/>
  <c r="AB81" i="2"/>
  <c r="AA129" i="2"/>
  <c r="AA167" i="16"/>
  <c r="AA125" i="2"/>
  <c r="AA168" i="16"/>
  <c r="S156" i="17" l="1"/>
  <c r="Q55" i="2"/>
  <c r="Q56" i="2" s="1"/>
  <c r="Q103" i="2" s="1"/>
  <c r="Q50" i="2"/>
  <c r="Q51" i="2" s="1"/>
  <c r="Q98" i="2" s="1"/>
  <c r="Q154" i="2" s="1"/>
  <c r="P160" i="2"/>
  <c r="P154" i="2"/>
  <c r="P162" i="2" s="1"/>
  <c r="P159" i="2" s="1"/>
  <c r="Z25" i="17"/>
  <c r="R164" i="17"/>
  <c r="R58" i="2" s="1"/>
  <c r="R105" i="2" s="1"/>
  <c r="R107" i="2" s="1"/>
  <c r="T139" i="2"/>
  <c r="S168" i="2"/>
  <c r="T49" i="17"/>
  <c r="T50" i="17" s="1"/>
  <c r="T51" i="17" s="1"/>
  <c r="T52" i="17" s="1"/>
  <c r="T54" i="17"/>
  <c r="T55" i="17" s="1"/>
  <c r="T56" i="17" s="1"/>
  <c r="T57" i="17" s="1"/>
  <c r="T61" i="17" s="1"/>
  <c r="T44" i="17"/>
  <c r="T45" i="17" s="1"/>
  <c r="T46" i="17" s="1"/>
  <c r="T47" i="17" s="1"/>
  <c r="T41" i="17"/>
  <c r="T42" i="17" s="1"/>
  <c r="S59" i="17"/>
  <c r="S107" i="17"/>
  <c r="S166" i="17"/>
  <c r="T104" i="17"/>
  <c r="T105" i="17" s="1"/>
  <c r="T106" i="17" s="1"/>
  <c r="T94" i="17"/>
  <c r="T95" i="17" s="1"/>
  <c r="T96" i="17" s="1"/>
  <c r="T97" i="17" s="1"/>
  <c r="T99" i="17"/>
  <c r="T100" i="17" s="1"/>
  <c r="T101" i="17" s="1"/>
  <c r="T102" i="17" s="1"/>
  <c r="Y147" i="17"/>
  <c r="Y148" i="17" s="1"/>
  <c r="Y155" i="17" s="1"/>
  <c r="Y145" i="2" s="1"/>
  <c r="R109" i="17"/>
  <c r="R115" i="17" s="1"/>
  <c r="R116" i="17" s="1"/>
  <c r="S110" i="17"/>
  <c r="AD69" i="12"/>
  <c r="AC79" i="12"/>
  <c r="AC80" i="12" s="1"/>
  <c r="AC70" i="12"/>
  <c r="U90" i="17"/>
  <c r="AB71" i="12"/>
  <c r="U88" i="2" s="1"/>
  <c r="U40" i="17"/>
  <c r="AC163" i="16"/>
  <c r="AC127" i="2" s="1"/>
  <c r="AB38" i="12"/>
  <c r="AB39" i="12" s="1"/>
  <c r="AB47" i="12"/>
  <c r="AB48" i="12" s="1"/>
  <c r="Q165" i="2"/>
  <c r="Q171" i="2" s="1"/>
  <c r="O156" i="2"/>
  <c r="O162" i="2"/>
  <c r="O159" i="2" s="1"/>
  <c r="AC37" i="12"/>
  <c r="AC43" i="12"/>
  <c r="AD33" i="12"/>
  <c r="AB70" i="2"/>
  <c r="Z118" i="2"/>
  <c r="Y83" i="17"/>
  <c r="AA71" i="2"/>
  <c r="AC47" i="16"/>
  <c r="AA115" i="2"/>
  <c r="AC49" i="16"/>
  <c r="AA67" i="2"/>
  <c r="AA117" i="2"/>
  <c r="AA127" i="16"/>
  <c r="AB90" i="16"/>
  <c r="AB117" i="16" s="1"/>
  <c r="AA116" i="2"/>
  <c r="Y90" i="12"/>
  <c r="X98" i="12"/>
  <c r="Y128" i="17"/>
  <c r="AA103" i="16"/>
  <c r="AA102" i="16"/>
  <c r="X161" i="17"/>
  <c r="X49" i="2" s="1"/>
  <c r="X96" i="2" s="1"/>
  <c r="AB89" i="16"/>
  <c r="AB88" i="16"/>
  <c r="AB115" i="16" s="1"/>
  <c r="AA74" i="2"/>
  <c r="AA76" i="2" s="1"/>
  <c r="Z71" i="17"/>
  <c r="X88" i="12"/>
  <c r="W96" i="12"/>
  <c r="AA101" i="16"/>
  <c r="AA108" i="16" s="1"/>
  <c r="Z129" i="17"/>
  <c r="Z126" i="17"/>
  <c r="U135" i="17"/>
  <c r="U137" i="17" s="1"/>
  <c r="U138" i="17" s="1"/>
  <c r="U154" i="17" s="1"/>
  <c r="U16" i="17"/>
  <c r="U17" i="17" s="1"/>
  <c r="S167" i="2"/>
  <c r="AC46" i="12"/>
  <c r="AD36" i="12"/>
  <c r="Z76" i="17"/>
  <c r="Z84" i="17"/>
  <c r="AA104" i="16"/>
  <c r="AB50" i="16"/>
  <c r="AC48" i="16"/>
  <c r="AB99" i="16"/>
  <c r="AB124" i="16"/>
  <c r="Z121" i="17"/>
  <c r="T20" i="17"/>
  <c r="T21" i="17" s="1"/>
  <c r="AB68" i="2"/>
  <c r="Y32" i="17"/>
  <c r="Y165" i="17" s="1"/>
  <c r="Y59" i="2" s="1"/>
  <c r="Y106" i="2" s="1"/>
  <c r="Y33" i="17"/>
  <c r="AA69" i="2"/>
  <c r="AC23" i="16"/>
  <c r="AB92" i="16"/>
  <c r="AB84" i="16"/>
  <c r="AB95" i="16"/>
  <c r="AB121" i="16" s="1"/>
  <c r="AB112" i="16"/>
  <c r="AB93" i="16"/>
  <c r="AB119" i="16" s="1"/>
  <c r="AB83" i="16"/>
  <c r="AB111" i="16" s="1"/>
  <c r="AB85" i="16"/>
  <c r="AB113" i="16" s="1"/>
  <c r="AB120" i="16"/>
  <c r="AB82" i="16"/>
  <c r="AB87" i="16"/>
  <c r="AB75" i="2"/>
  <c r="AC138" i="2"/>
  <c r="T18" i="17"/>
  <c r="T19" i="17"/>
  <c r="AA73" i="17"/>
  <c r="AA74" i="17" s="1"/>
  <c r="AA75" i="17" s="1"/>
  <c r="AA68" i="17"/>
  <c r="AA69" i="17" s="1"/>
  <c r="AA70" i="17" s="1"/>
  <c r="AA78" i="17"/>
  <c r="AA79" i="17" s="1"/>
  <c r="AA80" i="17" s="1"/>
  <c r="AA81" i="17" s="1"/>
  <c r="AA85" i="17" s="1"/>
  <c r="AA167" i="17" s="1"/>
  <c r="AA62" i="2" s="1"/>
  <c r="AA110" i="2" s="1"/>
  <c r="AA65" i="17"/>
  <c r="AA66" i="17" s="1"/>
  <c r="T144" i="2"/>
  <c r="T156" i="17"/>
  <c r="AB97" i="16"/>
  <c r="W97" i="12"/>
  <c r="X89" i="12"/>
  <c r="AB98" i="16"/>
  <c r="AB123" i="16" s="1"/>
  <c r="AA118" i="17"/>
  <c r="AA119" i="17" s="1"/>
  <c r="AA120" i="17" s="1"/>
  <c r="AA123" i="17"/>
  <c r="AA124" i="17" s="1"/>
  <c r="AA125" i="17" s="1"/>
  <c r="Z145" i="17"/>
  <c r="Z30" i="17"/>
  <c r="Z31" i="17" s="1"/>
  <c r="AC57" i="12"/>
  <c r="AB114" i="17"/>
  <c r="AB64" i="17"/>
  <c r="S22" i="17"/>
  <c r="S23" i="17"/>
  <c r="Z87" i="12"/>
  <c r="Z92" i="12" s="1"/>
  <c r="Y95" i="12"/>
  <c r="AB73" i="16"/>
  <c r="AB94" i="16" s="1"/>
  <c r="AC72" i="16"/>
  <c r="AC73" i="16" s="1"/>
  <c r="Z28" i="17"/>
  <c r="Z29" i="17"/>
  <c r="X163" i="17"/>
  <c r="X54" i="2" s="1"/>
  <c r="X101" i="2" s="1"/>
  <c r="Y120" i="2"/>
  <c r="Y166" i="2" s="1"/>
  <c r="Y126" i="16"/>
  <c r="Y128" i="16" s="1"/>
  <c r="Z109" i="16"/>
  <c r="Z119" i="2"/>
  <c r="Z125" i="16"/>
  <c r="AC64" i="17"/>
  <c r="AD57" i="12"/>
  <c r="AC114" i="17"/>
  <c r="V15" i="17"/>
  <c r="AA25" i="17"/>
  <c r="AA26" i="17"/>
  <c r="AA27" i="17" s="1"/>
  <c r="AA169" i="16"/>
  <c r="AB129" i="2"/>
  <c r="AB167" i="16"/>
  <c r="AB125" i="2"/>
  <c r="AB168" i="16"/>
  <c r="AC129" i="2"/>
  <c r="AC167" i="16"/>
  <c r="AC125" i="2"/>
  <c r="P156" i="2" l="1"/>
  <c r="Q161" i="2"/>
  <c r="AC168" i="16"/>
  <c r="Q156" i="2"/>
  <c r="Q155" i="2"/>
  <c r="Q162" i="2"/>
  <c r="P155" i="2"/>
  <c r="Q159" i="2"/>
  <c r="Z147" i="17"/>
  <c r="Z148" i="17" s="1"/>
  <c r="Z155" i="17" s="1"/>
  <c r="R160" i="17"/>
  <c r="R48" i="2" s="1"/>
  <c r="R162" i="17"/>
  <c r="R53" i="2" s="1"/>
  <c r="V40" i="17"/>
  <c r="V90" i="17"/>
  <c r="V91" i="17" s="1"/>
  <c r="V92" i="17" s="1"/>
  <c r="AC71" i="12"/>
  <c r="V88" i="2" s="1"/>
  <c r="T60" i="17"/>
  <c r="AE69" i="12"/>
  <c r="AD70" i="12"/>
  <c r="AD79" i="12"/>
  <c r="AD80" i="12" s="1"/>
  <c r="T107" i="17"/>
  <c r="T166" i="17"/>
  <c r="U94" i="17"/>
  <c r="U95" i="17" s="1"/>
  <c r="U96" i="17" s="1"/>
  <c r="U97" i="17" s="1"/>
  <c r="U104" i="17"/>
  <c r="U105" i="17" s="1"/>
  <c r="U106" i="17" s="1"/>
  <c r="U99" i="17"/>
  <c r="U100" i="17" s="1"/>
  <c r="U101" i="17" s="1"/>
  <c r="U102" i="17" s="1"/>
  <c r="U91" i="17"/>
  <c r="U92" i="17" s="1"/>
  <c r="T110" i="17"/>
  <c r="U139" i="2"/>
  <c r="T168" i="2"/>
  <c r="S111" i="17"/>
  <c r="S109" i="17"/>
  <c r="S115" i="17" s="1"/>
  <c r="S116" i="17" s="1"/>
  <c r="U44" i="17"/>
  <c r="U45" i="17" s="1"/>
  <c r="U46" i="17" s="1"/>
  <c r="U47" i="17" s="1"/>
  <c r="U49" i="17"/>
  <c r="U50" i="17" s="1"/>
  <c r="U51" i="17" s="1"/>
  <c r="U52" i="17" s="1"/>
  <c r="U54" i="17"/>
  <c r="U55" i="17" s="1"/>
  <c r="U56" i="17" s="1"/>
  <c r="U57" i="17" s="1"/>
  <c r="U61" i="17" s="1"/>
  <c r="T59" i="17"/>
  <c r="U41" i="17"/>
  <c r="U42" i="17" s="1"/>
  <c r="AC98" i="16"/>
  <c r="AC123" i="16" s="1"/>
  <c r="AC38" i="12"/>
  <c r="AC39" i="12" s="1"/>
  <c r="AC47" i="12"/>
  <c r="AC48" i="12" s="1"/>
  <c r="AB25" i="17" s="1"/>
  <c r="AC88" i="16"/>
  <c r="AC97" i="16"/>
  <c r="T23" i="17"/>
  <c r="AB116" i="2"/>
  <c r="Z83" i="17"/>
  <c r="AD37" i="12"/>
  <c r="AD43" i="12"/>
  <c r="AC50" i="16"/>
  <c r="AC89" i="16"/>
  <c r="T22" i="17"/>
  <c r="AB169" i="16"/>
  <c r="AA118" i="2"/>
  <c r="Y163" i="17"/>
  <c r="Y54" i="2" s="1"/>
  <c r="Y101" i="2" s="1"/>
  <c r="AB117" i="2"/>
  <c r="AC72" i="2"/>
  <c r="AB104" i="16"/>
  <c r="Z90" i="12"/>
  <c r="Y98" i="12"/>
  <c r="AB69" i="2"/>
  <c r="AB103" i="16"/>
  <c r="Z128" i="17"/>
  <c r="AC116" i="16"/>
  <c r="AC90" i="16"/>
  <c r="AC117" i="16" s="1"/>
  <c r="AB115" i="2"/>
  <c r="AC70" i="2"/>
  <c r="AC68" i="2"/>
  <c r="AB71" i="2"/>
  <c r="AB73" i="17"/>
  <c r="AB74" i="17" s="1"/>
  <c r="AB75" i="17" s="1"/>
  <c r="AB78" i="17"/>
  <c r="AB79" i="17" s="1"/>
  <c r="AB80" i="17" s="1"/>
  <c r="AB81" i="17" s="1"/>
  <c r="AB85" i="17" s="1"/>
  <c r="AB167" i="17" s="1"/>
  <c r="AB62" i="2" s="1"/>
  <c r="AB110" i="2" s="1"/>
  <c r="AB68" i="17"/>
  <c r="AB69" i="17" s="1"/>
  <c r="AB70" i="17" s="1"/>
  <c r="AB65" i="17"/>
  <c r="AB66" i="17" s="1"/>
  <c r="U20" i="17"/>
  <c r="U21" i="17" s="1"/>
  <c r="AB127" i="16"/>
  <c r="AA145" i="17"/>
  <c r="AA147" i="17" s="1"/>
  <c r="AA148" i="17" s="1"/>
  <c r="AA155" i="17" s="1"/>
  <c r="AA30" i="17"/>
  <c r="AA31" i="17" s="1"/>
  <c r="AC78" i="17"/>
  <c r="AC79" i="17" s="1"/>
  <c r="AC80" i="17" s="1"/>
  <c r="AC81" i="17" s="1"/>
  <c r="AC73" i="17"/>
  <c r="AC74" i="17" s="1"/>
  <c r="AC75" i="17" s="1"/>
  <c r="AC68" i="17"/>
  <c r="AC69" i="17" s="1"/>
  <c r="AC70" i="17" s="1"/>
  <c r="AC65" i="17"/>
  <c r="AC66" i="17" s="1"/>
  <c r="AB123" i="17"/>
  <c r="AB124" i="17" s="1"/>
  <c r="AB125" i="17" s="1"/>
  <c r="AB118" i="17"/>
  <c r="AB119" i="17" s="1"/>
  <c r="AB120" i="17" s="1"/>
  <c r="U144" i="2"/>
  <c r="U156" i="17"/>
  <c r="S164" i="17"/>
  <c r="S58" i="2" s="1"/>
  <c r="S105" i="2" s="1"/>
  <c r="AA129" i="17"/>
  <c r="AA126" i="17"/>
  <c r="AB74" i="2"/>
  <c r="AB76" i="2" s="1"/>
  <c r="AB101" i="16"/>
  <c r="AB108" i="16" s="1"/>
  <c r="AC99" i="16"/>
  <c r="AC124" i="16"/>
  <c r="AD46" i="12"/>
  <c r="AC118" i="17"/>
  <c r="AC119" i="17" s="1"/>
  <c r="AC120" i="17" s="1"/>
  <c r="AC123" i="17"/>
  <c r="AC124" i="17" s="1"/>
  <c r="AC125" i="17" s="1"/>
  <c r="AA71" i="17"/>
  <c r="Y88" i="12"/>
  <c r="X96" i="12"/>
  <c r="AA29" i="17"/>
  <c r="AA28" i="17"/>
  <c r="AA76" i="17"/>
  <c r="AA84" i="17"/>
  <c r="AB102" i="16"/>
  <c r="V135" i="17"/>
  <c r="V137" i="17" s="1"/>
  <c r="V138" i="17" s="1"/>
  <c r="V154" i="17" s="1"/>
  <c r="V16" i="17"/>
  <c r="V17" i="17" s="1"/>
  <c r="Z126" i="16"/>
  <c r="Z128" i="16" s="1"/>
  <c r="Z120" i="2"/>
  <c r="Z95" i="12"/>
  <c r="AA87" i="12"/>
  <c r="AA92" i="12" s="1"/>
  <c r="AA121" i="17"/>
  <c r="Y161" i="17"/>
  <c r="Y49" i="2" s="1"/>
  <c r="Y96" i="2" s="1"/>
  <c r="AA125" i="16"/>
  <c r="AA109" i="16"/>
  <c r="AA119" i="2"/>
  <c r="T167" i="2"/>
  <c r="AB67" i="2"/>
  <c r="Z32" i="17"/>
  <c r="Z165" i="17" s="1"/>
  <c r="Z59" i="2" s="1"/>
  <c r="Z106" i="2" s="1"/>
  <c r="Z33" i="17"/>
  <c r="S162" i="17"/>
  <c r="S53" i="2" s="1"/>
  <c r="AC92" i="16"/>
  <c r="AC95" i="16"/>
  <c r="AC121" i="16" s="1"/>
  <c r="AC120" i="16"/>
  <c r="AC93" i="16"/>
  <c r="AC119" i="16" s="1"/>
  <c r="AC87" i="16"/>
  <c r="AC83" i="16"/>
  <c r="AC111" i="16" s="1"/>
  <c r="AC84" i="16"/>
  <c r="AC94" i="16"/>
  <c r="AC85" i="16"/>
  <c r="AC113" i="16" s="1"/>
  <c r="AC75" i="2"/>
  <c r="AC112" i="16"/>
  <c r="AC82" i="16"/>
  <c r="U18" i="17"/>
  <c r="U19" i="17"/>
  <c r="Z145" i="2"/>
  <c r="Y89" i="12"/>
  <c r="X97" i="12"/>
  <c r="W15" i="17"/>
  <c r="AC169" i="16"/>
  <c r="AC115" i="16"/>
  <c r="U60" i="17" l="1"/>
  <c r="U59" i="17"/>
  <c r="U110" i="17"/>
  <c r="V49" i="17"/>
  <c r="V50" i="17" s="1"/>
  <c r="V51" i="17" s="1"/>
  <c r="V52" i="17" s="1"/>
  <c r="V44" i="17"/>
  <c r="V45" i="17" s="1"/>
  <c r="V46" i="17" s="1"/>
  <c r="V47" i="17" s="1"/>
  <c r="V54" i="17"/>
  <c r="V55" i="17" s="1"/>
  <c r="V56" i="17" s="1"/>
  <c r="V57" i="17" s="1"/>
  <c r="V61" i="17" s="1"/>
  <c r="R55" i="2"/>
  <c r="R56" i="2" s="1"/>
  <c r="R103" i="2" s="1"/>
  <c r="R100" i="2"/>
  <c r="R102" i="2" s="1"/>
  <c r="AF69" i="12"/>
  <c r="AE70" i="12"/>
  <c r="R95" i="2"/>
  <c r="R97" i="2" s="1"/>
  <c r="R50" i="2"/>
  <c r="R51" i="2" s="1"/>
  <c r="R98" i="2" s="1"/>
  <c r="T164" i="17"/>
  <c r="T58" i="2" s="1"/>
  <c r="T105" i="2" s="1"/>
  <c r="T107" i="2" s="1"/>
  <c r="U107" i="17"/>
  <c r="U166" i="17"/>
  <c r="S160" i="17"/>
  <c r="S48" i="2" s="1"/>
  <c r="S50" i="2" s="1"/>
  <c r="S51" i="2" s="1"/>
  <c r="S98" i="2" s="1"/>
  <c r="AD71" i="12"/>
  <c r="W88" i="2" s="1"/>
  <c r="W40" i="17"/>
  <c r="W41" i="17" s="1"/>
  <c r="W42" i="17" s="1"/>
  <c r="W90" i="17"/>
  <c r="V139" i="2"/>
  <c r="U168" i="2"/>
  <c r="V41" i="17"/>
  <c r="V42" i="17" s="1"/>
  <c r="T109" i="17"/>
  <c r="T160" i="17" s="1"/>
  <c r="T48" i="2" s="1"/>
  <c r="T50" i="2" s="1"/>
  <c r="T51" i="2" s="1"/>
  <c r="T98" i="2" s="1"/>
  <c r="T111" i="17"/>
  <c r="V94" i="17"/>
  <c r="V104" i="17"/>
  <c r="V105" i="17" s="1"/>
  <c r="V106" i="17" s="1"/>
  <c r="V99" i="17"/>
  <c r="V100" i="17" s="1"/>
  <c r="V101" i="17" s="1"/>
  <c r="V102" i="17" s="1"/>
  <c r="AB26" i="17"/>
  <c r="AB27" i="17" s="1"/>
  <c r="AB28" i="17" s="1"/>
  <c r="AD38" i="12"/>
  <c r="AD39" i="12" s="1"/>
  <c r="AD47" i="12"/>
  <c r="AD48" i="12" s="1"/>
  <c r="U23" i="17"/>
  <c r="AB118" i="2"/>
  <c r="AA128" i="17"/>
  <c r="Z163" i="17"/>
  <c r="Z54" i="2" s="1"/>
  <c r="Z101" i="2" s="1"/>
  <c r="AC116" i="2"/>
  <c r="AA83" i="17"/>
  <c r="AC101" i="16"/>
  <c r="AC108" i="16" s="1"/>
  <c r="AC119" i="2" s="1"/>
  <c r="AC117" i="2"/>
  <c r="AC103" i="16"/>
  <c r="V20" i="17"/>
  <c r="V21" i="17" s="1"/>
  <c r="V23" i="17" s="1"/>
  <c r="U22" i="17"/>
  <c r="AC71" i="2"/>
  <c r="Z98" i="12"/>
  <c r="AA90" i="12"/>
  <c r="AC104" i="16"/>
  <c r="AC85" i="17"/>
  <c r="AC167" i="17" s="1"/>
  <c r="AC62" i="2" s="1"/>
  <c r="AC110" i="2" s="1"/>
  <c r="S55" i="2"/>
  <c r="S56" i="2" s="1"/>
  <c r="S103" i="2" s="1"/>
  <c r="S100" i="2"/>
  <c r="S102" i="2" s="1"/>
  <c r="AC71" i="17"/>
  <c r="AC76" i="17"/>
  <c r="AA126" i="16"/>
  <c r="AA128" i="16" s="1"/>
  <c r="AA120" i="2"/>
  <c r="AA166" i="2" s="1"/>
  <c r="V18" i="17"/>
  <c r="V19" i="17"/>
  <c r="AB119" i="2"/>
  <c r="AB109" i="16"/>
  <c r="AB125" i="16"/>
  <c r="Z161" i="17"/>
  <c r="Z49" i="2" s="1"/>
  <c r="Z96" i="2" s="1"/>
  <c r="AB87" i="12"/>
  <c r="AB92" i="12" s="1"/>
  <c r="AA95" i="12"/>
  <c r="AB121" i="17"/>
  <c r="AA33" i="17"/>
  <c r="AA32" i="17"/>
  <c r="AA165" i="17" s="1"/>
  <c r="AA59" i="2" s="1"/>
  <c r="AA106" i="2" s="1"/>
  <c r="AB71" i="17"/>
  <c r="AC126" i="17"/>
  <c r="S107" i="2"/>
  <c r="AB126" i="17"/>
  <c r="AB129" i="17"/>
  <c r="AC129" i="17" s="1"/>
  <c r="AA145" i="2"/>
  <c r="V144" i="2"/>
  <c r="V156" i="17"/>
  <c r="AC74" i="2"/>
  <c r="AC76" i="2" s="1"/>
  <c r="AB145" i="17"/>
  <c r="AB147" i="17" s="1"/>
  <c r="AB148" i="17" s="1"/>
  <c r="AB155" i="17" s="1"/>
  <c r="AC121" i="17"/>
  <c r="AC102" i="16"/>
  <c r="AB76" i="17"/>
  <c r="AB84" i="17"/>
  <c r="AC84" i="17" s="1"/>
  <c r="W135" i="17"/>
  <c r="W137" i="17" s="1"/>
  <c r="W138" i="17" s="1"/>
  <c r="W154" i="17" s="1"/>
  <c r="W16" i="17"/>
  <c r="W17" i="17" s="1"/>
  <c r="U167" i="2"/>
  <c r="AC67" i="2"/>
  <c r="Z89" i="12"/>
  <c r="Y97" i="12"/>
  <c r="X15" i="17"/>
  <c r="AC69" i="2"/>
  <c r="Z166" i="2"/>
  <c r="Y96" i="12"/>
  <c r="Z88" i="12"/>
  <c r="AC25" i="17"/>
  <c r="AC26" i="17"/>
  <c r="AC27" i="17" s="1"/>
  <c r="AC115" i="2"/>
  <c r="AC127" i="16"/>
  <c r="U164" i="17" l="1"/>
  <c r="U58" i="2" s="1"/>
  <c r="U105" i="2" s="1"/>
  <c r="U107" i="2" s="1"/>
  <c r="V59" i="17"/>
  <c r="R161" i="2"/>
  <c r="U111" i="17"/>
  <c r="U109" i="17"/>
  <c r="V60" i="17"/>
  <c r="V110" i="17"/>
  <c r="V107" i="17"/>
  <c r="V111" i="17" s="1"/>
  <c r="V166" i="17"/>
  <c r="V95" i="17"/>
  <c r="V96" i="17" s="1"/>
  <c r="V97" i="17" s="1"/>
  <c r="W139" i="2"/>
  <c r="V168" i="2"/>
  <c r="AG69" i="12"/>
  <c r="AF70" i="12"/>
  <c r="T115" i="17"/>
  <c r="T116" i="17" s="1"/>
  <c r="T162" i="17"/>
  <c r="T53" i="2" s="1"/>
  <c r="R160" i="2"/>
  <c r="R165" i="2"/>
  <c r="R171" i="2" s="1"/>
  <c r="AE71" i="12"/>
  <c r="X88" i="2" s="1"/>
  <c r="X40" i="17"/>
  <c r="X90" i="17"/>
  <c r="X91" i="17" s="1"/>
  <c r="X92" i="17" s="1"/>
  <c r="S95" i="2"/>
  <c r="S97" i="2" s="1"/>
  <c r="S160" i="2" s="1"/>
  <c r="W104" i="17"/>
  <c r="W105" i="17" s="1"/>
  <c r="W106" i="17" s="1"/>
  <c r="W94" i="17"/>
  <c r="W95" i="17" s="1"/>
  <c r="W96" i="17" s="1"/>
  <c r="W97" i="17" s="1"/>
  <c r="W99" i="17"/>
  <c r="W100" i="17" s="1"/>
  <c r="W101" i="17" s="1"/>
  <c r="W102" i="17" s="1"/>
  <c r="W91" i="17"/>
  <c r="W92" i="17" s="1"/>
  <c r="R154" i="2"/>
  <c r="AB29" i="17"/>
  <c r="W54" i="17"/>
  <c r="W55" i="17" s="1"/>
  <c r="W56" i="17" s="1"/>
  <c r="W57" i="17" s="1"/>
  <c r="W61" i="17" s="1"/>
  <c r="W49" i="17"/>
  <c r="W50" i="17" s="1"/>
  <c r="W51" i="17" s="1"/>
  <c r="W52" i="17" s="1"/>
  <c r="W44" i="17"/>
  <c r="W45" i="17" s="1"/>
  <c r="W46" i="17" s="1"/>
  <c r="W47" i="17" s="1"/>
  <c r="T95" i="2"/>
  <c r="T97" i="2" s="1"/>
  <c r="AB30" i="17"/>
  <c r="AB31" i="17" s="1"/>
  <c r="AA163" i="17"/>
  <c r="AA54" i="2" s="1"/>
  <c r="AA101" i="2" s="1"/>
  <c r="AC118" i="2"/>
  <c r="AC125" i="16"/>
  <c r="AC109" i="16"/>
  <c r="AC120" i="2" s="1"/>
  <c r="AC128" i="17"/>
  <c r="AB83" i="17"/>
  <c r="AC83" i="17" s="1"/>
  <c r="V22" i="17"/>
  <c r="AA161" i="17"/>
  <c r="AA49" i="2" s="1"/>
  <c r="AA96" i="2" s="1"/>
  <c r="AB90" i="12"/>
  <c r="AA98" i="12"/>
  <c r="AB128" i="17"/>
  <c r="W20" i="17"/>
  <c r="W21" i="17" s="1"/>
  <c r="W23" i="17" s="1"/>
  <c r="V167" i="2"/>
  <c r="AB120" i="2"/>
  <c r="AB126" i="16"/>
  <c r="AB128" i="16" s="1"/>
  <c r="AA88" i="12"/>
  <c r="Z96" i="12"/>
  <c r="X135" i="17"/>
  <c r="X137" i="17" s="1"/>
  <c r="X138" i="17" s="1"/>
  <c r="X154" i="17" s="1"/>
  <c r="X16" i="17"/>
  <c r="X17" i="17" s="1"/>
  <c r="Y15" i="17"/>
  <c r="W18" i="17"/>
  <c r="W19" i="17"/>
  <c r="W144" i="2"/>
  <c r="W156" i="17"/>
  <c r="AB33" i="17"/>
  <c r="AB32" i="17"/>
  <c r="AB165" i="17" s="1"/>
  <c r="AB59" i="2" s="1"/>
  <c r="AB106" i="2" s="1"/>
  <c r="AC87" i="12"/>
  <c r="AC92" i="12" s="1"/>
  <c r="AB95" i="12"/>
  <c r="Z97" i="12"/>
  <c r="AA89" i="12"/>
  <c r="S161" i="2"/>
  <c r="AB145" i="2"/>
  <c r="AC29" i="17"/>
  <c r="AC28" i="17"/>
  <c r="AC145" i="17"/>
  <c r="AC147" i="17" s="1"/>
  <c r="AC148" i="17" s="1"/>
  <c r="AC155" i="17" s="1"/>
  <c r="AC30" i="17"/>
  <c r="AC31" i="17" s="1"/>
  <c r="AC166" i="2" l="1"/>
  <c r="U160" i="17"/>
  <c r="U48" i="2" s="1"/>
  <c r="U162" i="17"/>
  <c r="U53" i="2" s="1"/>
  <c r="W59" i="17"/>
  <c r="S154" i="2"/>
  <c r="S162" i="2" s="1"/>
  <c r="S159" i="2" s="1"/>
  <c r="S165" i="2"/>
  <c r="S171" i="2" s="1"/>
  <c r="V164" i="17"/>
  <c r="V58" i="2" s="1"/>
  <c r="V105" i="2" s="1"/>
  <c r="V107" i="2" s="1"/>
  <c r="U115" i="17"/>
  <c r="U116" i="17" s="1"/>
  <c r="V115" i="17"/>
  <c r="V116" i="17" s="1"/>
  <c r="V109" i="17"/>
  <c r="AC126" i="16"/>
  <c r="AC128" i="16" s="1"/>
  <c r="X104" i="17"/>
  <c r="X105" i="17" s="1"/>
  <c r="X106" i="17" s="1"/>
  <c r="X94" i="17"/>
  <c r="X95" i="17" s="1"/>
  <c r="X96" i="17" s="1"/>
  <c r="X97" i="17" s="1"/>
  <c r="X99" i="17"/>
  <c r="X100" i="17" s="1"/>
  <c r="X101" i="17" s="1"/>
  <c r="X102" i="17" s="1"/>
  <c r="Y90" i="17"/>
  <c r="Y40" i="17"/>
  <c r="AF71" i="12"/>
  <c r="Y88" i="2" s="1"/>
  <c r="W60" i="17"/>
  <c r="W107" i="17"/>
  <c r="W111" i="17" s="1"/>
  <c r="W166" i="17"/>
  <c r="X49" i="17"/>
  <c r="X50" i="17" s="1"/>
  <c r="X51" i="17" s="1"/>
  <c r="X52" i="17" s="1"/>
  <c r="X54" i="17"/>
  <c r="X55" i="17" s="1"/>
  <c r="X56" i="17" s="1"/>
  <c r="X57" i="17" s="1"/>
  <c r="X61" i="17" s="1"/>
  <c r="X44" i="17"/>
  <c r="X45" i="17" s="1"/>
  <c r="X46" i="17" s="1"/>
  <c r="X47" i="17" s="1"/>
  <c r="X41" i="17"/>
  <c r="X42" i="17" s="1"/>
  <c r="AH69" i="12"/>
  <c r="AG70" i="12"/>
  <c r="W110" i="17"/>
  <c r="T100" i="2"/>
  <c r="T102" i="2" s="1"/>
  <c r="T55" i="2"/>
  <c r="T56" i="2" s="1"/>
  <c r="T103" i="2" s="1"/>
  <c r="T161" i="2" s="1"/>
  <c r="R162" i="2"/>
  <c r="R159" i="2" s="1"/>
  <c r="R155" i="2"/>
  <c r="R156" i="2"/>
  <c r="X139" i="2"/>
  <c r="W168" i="2"/>
  <c r="AB161" i="17"/>
  <c r="AB49" i="2" s="1"/>
  <c r="AB96" i="2" s="1"/>
  <c r="W22" i="17"/>
  <c r="AB98" i="12"/>
  <c r="AC90" i="12"/>
  <c r="AC98" i="12" s="1"/>
  <c r="AC145" i="2"/>
  <c r="Z15" i="17"/>
  <c r="AC33" i="17"/>
  <c r="AC163" i="17" s="1"/>
  <c r="AC54" i="2" s="1"/>
  <c r="AC101" i="2" s="1"/>
  <c r="AC32" i="17"/>
  <c r="AC165" i="17" s="1"/>
  <c r="AC59" i="2" s="1"/>
  <c r="AC106" i="2" s="1"/>
  <c r="AA97" i="12"/>
  <c r="AB89" i="12"/>
  <c r="Y135" i="17"/>
  <c r="Y137" i="17" s="1"/>
  <c r="Y138" i="17" s="1"/>
  <c r="Y154" i="17" s="1"/>
  <c r="Y16" i="17"/>
  <c r="Y17" i="17" s="1"/>
  <c r="AB163" i="17"/>
  <c r="AB54" i="2" s="1"/>
  <c r="AB101" i="2" s="1"/>
  <c r="W167" i="2"/>
  <c r="AB166" i="2"/>
  <c r="AC95" i="12"/>
  <c r="X19" i="17"/>
  <c r="X18" i="17"/>
  <c r="X144" i="2"/>
  <c r="X156" i="17"/>
  <c r="AB88" i="12"/>
  <c r="AA96" i="12"/>
  <c r="X20" i="17"/>
  <c r="X21" i="17" s="1"/>
  <c r="X23" i="17" s="1"/>
  <c r="S156" i="2" l="1"/>
  <c r="S155" i="2"/>
  <c r="X110" i="17"/>
  <c r="X60" i="17"/>
  <c r="U55" i="2"/>
  <c r="U56" i="2" s="1"/>
  <c r="U103" i="2" s="1"/>
  <c r="U100" i="2"/>
  <c r="U102" i="2" s="1"/>
  <c r="U50" i="2"/>
  <c r="U51" i="2" s="1"/>
  <c r="U98" i="2" s="1"/>
  <c r="U95" i="2"/>
  <c r="U97" i="2" s="1"/>
  <c r="W109" i="17"/>
  <c r="V162" i="17"/>
  <c r="V53" i="2" s="1"/>
  <c r="V160" i="17"/>
  <c r="V48" i="2" s="1"/>
  <c r="T154" i="2"/>
  <c r="T160" i="2"/>
  <c r="T165" i="2"/>
  <c r="T171" i="2" s="1"/>
  <c r="Y99" i="17"/>
  <c r="Y100" i="17" s="1"/>
  <c r="Y101" i="17" s="1"/>
  <c r="Y102" i="17" s="1"/>
  <c r="Y94" i="17"/>
  <c r="Y95" i="17" s="1"/>
  <c r="Y96" i="17" s="1"/>
  <c r="Y97" i="17" s="1"/>
  <c r="Y104" i="17"/>
  <c r="Y105" i="17" s="1"/>
  <c r="Y106" i="17" s="1"/>
  <c r="Y91" i="17"/>
  <c r="Y92" i="17" s="1"/>
  <c r="W164" i="17"/>
  <c r="W58" i="2" s="1"/>
  <c r="W105" i="2" s="1"/>
  <c r="W107" i="2" s="1"/>
  <c r="X59" i="17"/>
  <c r="Y54" i="17"/>
  <c r="Y55" i="17" s="1"/>
  <c r="Y56" i="17" s="1"/>
  <c r="Y57" i="17" s="1"/>
  <c r="Y61" i="17" s="1"/>
  <c r="Y44" i="17"/>
  <c r="Y45" i="17" s="1"/>
  <c r="Y46" i="17" s="1"/>
  <c r="Y47" i="17" s="1"/>
  <c r="Y49" i="17"/>
  <c r="Y50" i="17" s="1"/>
  <c r="Y51" i="17" s="1"/>
  <c r="Y52" i="17" s="1"/>
  <c r="Y41" i="17"/>
  <c r="Y42" i="17" s="1"/>
  <c r="X168" i="2"/>
  <c r="Y139" i="2"/>
  <c r="Z90" i="17"/>
  <c r="AG71" i="12"/>
  <c r="Z88" i="2" s="1"/>
  <c r="Z40" i="17"/>
  <c r="AI69" i="12"/>
  <c r="AH70" i="12"/>
  <c r="X107" i="17"/>
  <c r="X166" i="17"/>
  <c r="Y20" i="17"/>
  <c r="Y21" i="17" s="1"/>
  <c r="Y23" i="17" s="1"/>
  <c r="Z135" i="17"/>
  <c r="Z137" i="17" s="1"/>
  <c r="Z138" i="17" s="1"/>
  <c r="Z154" i="17" s="1"/>
  <c r="Z16" i="17"/>
  <c r="Z17" i="17" s="1"/>
  <c r="AA15" i="17"/>
  <c r="X22" i="17"/>
  <c r="AC161" i="17"/>
  <c r="AC49" i="2" s="1"/>
  <c r="AC96" i="2" s="1"/>
  <c r="Y18" i="17"/>
  <c r="Y19" i="17"/>
  <c r="X167" i="2"/>
  <c r="Y144" i="2"/>
  <c r="Y156" i="17"/>
  <c r="AB96" i="12"/>
  <c r="AC88" i="12"/>
  <c r="AC89" i="12"/>
  <c r="AC97" i="12" s="1"/>
  <c r="AB97" i="12"/>
  <c r="U160" i="2" l="1"/>
  <c r="U165" i="2"/>
  <c r="U171" i="2" s="1"/>
  <c r="U154" i="2"/>
  <c r="U161" i="2"/>
  <c r="V95" i="2"/>
  <c r="V97" i="2" s="1"/>
  <c r="V50" i="2"/>
  <c r="V51" i="2" s="1"/>
  <c r="V98" i="2" s="1"/>
  <c r="V55" i="2"/>
  <c r="V56" i="2" s="1"/>
  <c r="V103" i="2" s="1"/>
  <c r="V100" i="2"/>
  <c r="V102" i="2" s="1"/>
  <c r="V154" i="2" s="1"/>
  <c r="V155" i="2" s="1"/>
  <c r="X109" i="17"/>
  <c r="W160" i="17"/>
  <c r="W48" i="2" s="1"/>
  <c r="W162" i="17"/>
  <c r="W53" i="2" s="1"/>
  <c r="Z54" i="17"/>
  <c r="Z55" i="17" s="1"/>
  <c r="Z56" i="17" s="1"/>
  <c r="Z57" i="17" s="1"/>
  <c r="Z61" i="17" s="1"/>
  <c r="Z44" i="17"/>
  <c r="Z45" i="17" s="1"/>
  <c r="Z46" i="17" s="1"/>
  <c r="Z47" i="17" s="1"/>
  <c r="Z49" i="17"/>
  <c r="Z50" i="17" s="1"/>
  <c r="Z51" i="17" s="1"/>
  <c r="Z52" i="17" s="1"/>
  <c r="Z41" i="17"/>
  <c r="Z42" i="17" s="1"/>
  <c r="X111" i="17"/>
  <c r="Z99" i="17"/>
  <c r="Z100" i="17" s="1"/>
  <c r="Z101" i="17" s="1"/>
  <c r="Z102" i="17" s="1"/>
  <c r="Z94" i="17"/>
  <c r="Z95" i="17" s="1"/>
  <c r="Z96" i="17" s="1"/>
  <c r="Z97" i="17" s="1"/>
  <c r="Z104" i="17"/>
  <c r="Z105" i="17" s="1"/>
  <c r="Z106" i="17" s="1"/>
  <c r="Z91" i="17"/>
  <c r="Z92" i="17" s="1"/>
  <c r="Y166" i="17"/>
  <c r="Y107" i="17"/>
  <c r="T156" i="2"/>
  <c r="T162" i="2"/>
  <c r="T159" i="2" s="1"/>
  <c r="T155" i="2"/>
  <c r="W115" i="17"/>
  <c r="W116" i="17" s="1"/>
  <c r="AH71" i="12"/>
  <c r="AA88" i="2" s="1"/>
  <c r="AA40" i="17"/>
  <c r="AA90" i="17"/>
  <c r="AJ69" i="12"/>
  <c r="AJ70" i="12" s="1"/>
  <c r="AI70" i="12"/>
  <c r="Z139" i="2"/>
  <c r="Y168" i="2"/>
  <c r="Y59" i="17"/>
  <c r="Y110" i="17"/>
  <c r="Z110" i="17" s="1"/>
  <c r="Y60" i="17"/>
  <c r="Y22" i="17"/>
  <c r="AB15" i="17"/>
  <c r="AB135" i="17" s="1"/>
  <c r="X164" i="17"/>
  <c r="X58" i="2" s="1"/>
  <c r="X105" i="2" s="1"/>
  <c r="X107" i="2" s="1"/>
  <c r="Z19" i="17"/>
  <c r="Z18" i="17"/>
  <c r="Z144" i="2"/>
  <c r="Z156" i="17"/>
  <c r="Z20" i="17"/>
  <c r="Z21" i="17" s="1"/>
  <c r="Z23" i="17" s="1"/>
  <c r="AC96" i="12"/>
  <c r="AA135" i="17"/>
  <c r="AA137" i="17" s="1"/>
  <c r="AA138" i="17" s="1"/>
  <c r="AA154" i="17" s="1"/>
  <c r="AA16" i="17"/>
  <c r="AA17" i="17" s="1"/>
  <c r="Y167" i="2"/>
  <c r="V161" i="2" l="1"/>
  <c r="Z60" i="17"/>
  <c r="U162" i="2"/>
  <c r="U159" i="2" s="1"/>
  <c r="U156" i="2"/>
  <c r="U155" i="2"/>
  <c r="Z59" i="17"/>
  <c r="AC90" i="17"/>
  <c r="AC40" i="17"/>
  <c r="AJ71" i="12"/>
  <c r="Y111" i="17"/>
  <c r="Y109" i="17"/>
  <c r="X162" i="17"/>
  <c r="X53" i="2" s="1"/>
  <c r="X160" i="17"/>
  <c r="X48" i="2" s="1"/>
  <c r="AA44" i="17"/>
  <c r="AA45" i="17" s="1"/>
  <c r="AA46" i="17" s="1"/>
  <c r="AA47" i="17" s="1"/>
  <c r="AA54" i="17"/>
  <c r="AA55" i="17" s="1"/>
  <c r="AA56" i="17" s="1"/>
  <c r="AA57" i="17" s="1"/>
  <c r="AA61" i="17" s="1"/>
  <c r="AA49" i="17"/>
  <c r="AA50" i="17" s="1"/>
  <c r="AA51" i="17" s="1"/>
  <c r="AA52" i="17" s="1"/>
  <c r="AA41" i="17"/>
  <c r="AA42" i="17" s="1"/>
  <c r="AA94" i="17"/>
  <c r="AA95" i="17" s="1"/>
  <c r="AA96" i="17" s="1"/>
  <c r="AA97" i="17" s="1"/>
  <c r="AA104" i="17"/>
  <c r="AA105" i="17" s="1"/>
  <c r="AA106" i="17" s="1"/>
  <c r="AA99" i="17"/>
  <c r="AA100" i="17" s="1"/>
  <c r="AA101" i="17" s="1"/>
  <c r="AA102" i="17" s="1"/>
  <c r="AA91" i="17"/>
  <c r="AA92" i="17" s="1"/>
  <c r="Z166" i="17"/>
  <c r="Z107" i="17"/>
  <c r="V160" i="2"/>
  <c r="V165" i="2"/>
  <c r="V171" i="2" s="1"/>
  <c r="Y164" i="17"/>
  <c r="Y58" i="2" s="1"/>
  <c r="Y105" i="2" s="1"/>
  <c r="Y107" i="2" s="1"/>
  <c r="V156" i="2"/>
  <c r="X115" i="17"/>
  <c r="X116" i="17" s="1"/>
  <c r="AA139" i="2"/>
  <c r="Z168" i="2"/>
  <c r="W55" i="2"/>
  <c r="W56" i="2" s="1"/>
  <c r="W103" i="2" s="1"/>
  <c r="W161" i="2" s="1"/>
  <c r="W100" i="2"/>
  <c r="W102" i="2" s="1"/>
  <c r="V162" i="2"/>
  <c r="AI71" i="12"/>
  <c r="AB88" i="2" s="1"/>
  <c r="AB90" i="17"/>
  <c r="AB40" i="17"/>
  <c r="W50" i="2"/>
  <c r="W51" i="2" s="1"/>
  <c r="W98" i="2" s="1"/>
  <c r="W95" i="2"/>
  <c r="W97" i="2" s="1"/>
  <c r="AB16" i="17"/>
  <c r="AB17" i="17" s="1"/>
  <c r="AA20" i="17"/>
  <c r="AA21" i="17" s="1"/>
  <c r="AA23" i="17" s="1"/>
  <c r="AC15" i="17"/>
  <c r="AC135" i="17" s="1"/>
  <c r="AB137" i="17"/>
  <c r="AB138" i="17" s="1"/>
  <c r="AB154" i="17" s="1"/>
  <c r="AB156" i="17" s="1"/>
  <c r="AA19" i="17"/>
  <c r="AA18" i="17"/>
  <c r="Z167" i="2"/>
  <c r="AA144" i="2"/>
  <c r="AA156" i="17"/>
  <c r="Z22" i="17"/>
  <c r="V159" i="2" l="1"/>
  <c r="AC88" i="2"/>
  <c r="AB49" i="17"/>
  <c r="AB50" i="17" s="1"/>
  <c r="AB51" i="17" s="1"/>
  <c r="AB52" i="17" s="1"/>
  <c r="AB44" i="17"/>
  <c r="AB45" i="17" s="1"/>
  <c r="AB46" i="17" s="1"/>
  <c r="AB47" i="17" s="1"/>
  <c r="AB54" i="17"/>
  <c r="AB55" i="17" s="1"/>
  <c r="AB56" i="17" s="1"/>
  <c r="AB57" i="17" s="1"/>
  <c r="AB61" i="17" s="1"/>
  <c r="AB41" i="17"/>
  <c r="AB42" i="17" s="1"/>
  <c r="AA168" i="2"/>
  <c r="AB139" i="2"/>
  <c r="AA59" i="17"/>
  <c r="AC99" i="17"/>
  <c r="AC100" i="17" s="1"/>
  <c r="AC101" i="17" s="1"/>
  <c r="AC102" i="17" s="1"/>
  <c r="AC104" i="17"/>
  <c r="AC105" i="17" s="1"/>
  <c r="AC106" i="17" s="1"/>
  <c r="AC94" i="17"/>
  <c r="AC95" i="17" s="1"/>
  <c r="AC96" i="17" s="1"/>
  <c r="AC97" i="17" s="1"/>
  <c r="AC91" i="17"/>
  <c r="AC92" i="17" s="1"/>
  <c r="AA110" i="17"/>
  <c r="AB110" i="17" s="1"/>
  <c r="AC110" i="17" s="1"/>
  <c r="AA60" i="17"/>
  <c r="AB60" i="17" s="1"/>
  <c r="AC49" i="17"/>
  <c r="AC50" i="17" s="1"/>
  <c r="AC51" i="17" s="1"/>
  <c r="AC52" i="17" s="1"/>
  <c r="AC54" i="17"/>
  <c r="AC55" i="17" s="1"/>
  <c r="AC56" i="17" s="1"/>
  <c r="AC57" i="17" s="1"/>
  <c r="AC44" i="17"/>
  <c r="AC45" i="17" s="1"/>
  <c r="AC46" i="17" s="1"/>
  <c r="AC47" i="17" s="1"/>
  <c r="AC41" i="17"/>
  <c r="AC42" i="17" s="1"/>
  <c r="AA107" i="17"/>
  <c r="AA166" i="17"/>
  <c r="X50" i="2"/>
  <c r="X51" i="2" s="1"/>
  <c r="X98" i="2" s="1"/>
  <c r="X95" i="2"/>
  <c r="X97" i="2" s="1"/>
  <c r="AB94" i="17"/>
  <c r="AB95" i="17" s="1"/>
  <c r="AB96" i="17" s="1"/>
  <c r="AB97" i="17" s="1"/>
  <c r="AB104" i="17"/>
  <c r="AB105" i="17" s="1"/>
  <c r="AB106" i="17" s="1"/>
  <c r="AB99" i="17"/>
  <c r="AB100" i="17" s="1"/>
  <c r="AB101" i="17" s="1"/>
  <c r="AB102" i="17" s="1"/>
  <c r="AB91" i="17"/>
  <c r="AB92" i="17" s="1"/>
  <c r="W154" i="2"/>
  <c r="X100" i="2"/>
  <c r="X102" i="2" s="1"/>
  <c r="X55" i="2"/>
  <c r="X56" i="2" s="1"/>
  <c r="X103" i="2" s="1"/>
  <c r="W165" i="2"/>
  <c r="W171" i="2" s="1"/>
  <c r="W160" i="2"/>
  <c r="Z109" i="17"/>
  <c r="Y160" i="17"/>
  <c r="Y48" i="2" s="1"/>
  <c r="Y162" i="17"/>
  <c r="Y53" i="2" s="1"/>
  <c r="Y115" i="17"/>
  <c r="Y116" i="17" s="1"/>
  <c r="Z111" i="17"/>
  <c r="AA111" i="17" s="1"/>
  <c r="AB20" i="17"/>
  <c r="AB21" i="17" s="1"/>
  <c r="AB23" i="17" s="1"/>
  <c r="AB19" i="17"/>
  <c r="AC16" i="17"/>
  <c r="AC17" i="17" s="1"/>
  <c r="AA22" i="17"/>
  <c r="AB144" i="2"/>
  <c r="AB167" i="2" s="1"/>
  <c r="AC137" i="17"/>
  <c r="AC138" i="17" s="1"/>
  <c r="AC154" i="17" s="1"/>
  <c r="AC144" i="2" s="1"/>
  <c r="AB18" i="17"/>
  <c r="Z164" i="17"/>
  <c r="Z58" i="2" s="1"/>
  <c r="Z105" i="2" s="1"/>
  <c r="Z107" i="2" s="1"/>
  <c r="AA167" i="2"/>
  <c r="AC61" i="17" l="1"/>
  <c r="AC60" i="17"/>
  <c r="AC18" i="17"/>
  <c r="AB168" i="2"/>
  <c r="AC139" i="2"/>
  <c r="AC168" i="2" s="1"/>
  <c r="X154" i="2"/>
  <c r="W162" i="2"/>
  <c r="W159" i="2" s="1"/>
  <c r="W156" i="2"/>
  <c r="W155" i="2"/>
  <c r="AA164" i="17"/>
  <c r="AA58" i="2" s="1"/>
  <c r="AA105" i="2" s="1"/>
  <c r="AA107" i="2" s="1"/>
  <c r="Y100" i="2"/>
  <c r="Y102" i="2" s="1"/>
  <c r="Y55" i="2"/>
  <c r="Y56" i="2" s="1"/>
  <c r="Y103" i="2" s="1"/>
  <c r="AC166" i="17"/>
  <c r="AC107" i="17"/>
  <c r="X160" i="2"/>
  <c r="X165" i="2"/>
  <c r="X171" i="2" s="1"/>
  <c r="X161" i="2"/>
  <c r="AC20" i="17"/>
  <c r="AC21" i="17" s="1"/>
  <c r="Y50" i="2"/>
  <c r="Y51" i="2" s="1"/>
  <c r="Y98" i="2" s="1"/>
  <c r="Y95" i="2"/>
  <c r="Y97" i="2" s="1"/>
  <c r="AA109" i="17"/>
  <c r="AA115" i="17" s="1"/>
  <c r="AA116" i="17" s="1"/>
  <c r="Z162" i="17"/>
  <c r="Z53" i="2" s="1"/>
  <c r="Z115" i="17"/>
  <c r="Z116" i="17" s="1"/>
  <c r="Z160" i="17"/>
  <c r="Z48" i="2" s="1"/>
  <c r="AB107" i="17"/>
  <c r="AB111" i="17" s="1"/>
  <c r="AB166" i="17"/>
  <c r="AB59" i="17"/>
  <c r="AC59" i="17" s="1"/>
  <c r="AB22" i="17"/>
  <c r="AB164" i="17" s="1"/>
  <c r="AB58" i="2" s="1"/>
  <c r="AB105" i="2" s="1"/>
  <c r="AB107" i="2" s="1"/>
  <c r="AC19" i="17"/>
  <c r="AC22" i="17"/>
  <c r="AC164" i="17" s="1"/>
  <c r="AC58" i="2" s="1"/>
  <c r="AC105" i="2" s="1"/>
  <c r="AC107" i="2" s="1"/>
  <c r="AC23" i="17"/>
  <c r="AC156" i="17"/>
  <c r="AC167" i="2"/>
  <c r="AC111" i="17" l="1"/>
  <c r="Z55" i="2"/>
  <c r="Z56" i="2" s="1"/>
  <c r="Z103" i="2" s="1"/>
  <c r="Z100" i="2"/>
  <c r="Z102" i="2" s="1"/>
  <c r="AB109" i="17"/>
  <c r="AA162" i="17"/>
  <c r="AA53" i="2" s="1"/>
  <c r="AA160" i="17"/>
  <c r="AA48" i="2" s="1"/>
  <c r="Z50" i="2"/>
  <c r="Z51" i="2" s="1"/>
  <c r="Z98" i="2" s="1"/>
  <c r="Z95" i="2"/>
  <c r="Z97" i="2" s="1"/>
  <c r="Y165" i="2"/>
  <c r="Y171" i="2" s="1"/>
  <c r="Y160" i="2"/>
  <c r="X162" i="2"/>
  <c r="X159" i="2" s="1"/>
  <c r="X156" i="2"/>
  <c r="X155" i="2"/>
  <c r="Y161" i="2"/>
  <c r="Y154" i="2"/>
  <c r="Z154" i="2" l="1"/>
  <c r="Z155" i="2" s="1"/>
  <c r="AA100" i="2"/>
  <c r="AA102" i="2" s="1"/>
  <c r="AA55" i="2"/>
  <c r="AA56" i="2" s="1"/>
  <c r="AA103" i="2" s="1"/>
  <c r="AA50" i="2"/>
  <c r="AA51" i="2" s="1"/>
  <c r="AA98" i="2" s="1"/>
  <c r="AA95" i="2"/>
  <c r="AA97" i="2" s="1"/>
  <c r="AC109" i="17"/>
  <c r="AB160" i="17"/>
  <c r="AB48" i="2" s="1"/>
  <c r="Z161" i="2"/>
  <c r="Y155" i="2"/>
  <c r="Y156" i="2"/>
  <c r="Y162" i="2"/>
  <c r="Y159" i="2" s="1"/>
  <c r="Z160" i="2"/>
  <c r="Z165" i="2"/>
  <c r="Z171" i="2" s="1"/>
  <c r="AB115" i="17"/>
  <c r="AB116" i="17" s="1"/>
  <c r="AB162" i="17"/>
  <c r="AB53" i="2" s="1"/>
  <c r="AC115" i="17"/>
  <c r="AC116" i="17" s="1"/>
  <c r="Z162" i="2" l="1"/>
  <c r="Z159" i="2" s="1"/>
  <c r="Z156" i="2"/>
  <c r="AB95" i="2"/>
  <c r="AB97" i="2" s="1"/>
  <c r="AB50" i="2"/>
  <c r="AB51" i="2" s="1"/>
  <c r="AB98" i="2" s="1"/>
  <c r="AB161" i="2" s="1"/>
  <c r="AA165" i="2"/>
  <c r="AA171" i="2" s="1"/>
  <c r="AA160" i="2"/>
  <c r="AC162" i="17"/>
  <c r="AC53" i="2" s="1"/>
  <c r="AC160" i="17"/>
  <c r="AC48" i="2" s="1"/>
  <c r="AA161" i="2"/>
  <c r="AB100" i="2"/>
  <c r="AB102" i="2" s="1"/>
  <c r="AB55" i="2"/>
  <c r="AB56" i="2" s="1"/>
  <c r="AB103" i="2" s="1"/>
  <c r="AA154" i="2"/>
  <c r="AB154" i="2" l="1"/>
  <c r="AB162" i="2" s="1"/>
  <c r="AC100" i="2"/>
  <c r="AC102" i="2" s="1"/>
  <c r="AC55" i="2"/>
  <c r="AC56" i="2" s="1"/>
  <c r="AC103" i="2" s="1"/>
  <c r="AC95" i="2"/>
  <c r="AC97" i="2" s="1"/>
  <c r="AC50" i="2"/>
  <c r="AC51" i="2" s="1"/>
  <c r="AC98" i="2" s="1"/>
  <c r="AA162" i="2"/>
  <c r="AA159" i="2" s="1"/>
  <c r="AA156" i="2"/>
  <c r="AA155" i="2"/>
  <c r="AB165" i="2"/>
  <c r="AB171" i="2" s="1"/>
  <c r="AB160" i="2"/>
  <c r="AB155" i="2" l="1"/>
  <c r="AB156" i="2"/>
  <c r="AB159" i="2"/>
  <c r="AC160" i="2"/>
  <c r="AC165" i="2"/>
  <c r="AC171" i="2" s="1"/>
  <c r="AC161" i="2"/>
  <c r="AC170" i="2" s="1"/>
  <c r="AC154" i="2"/>
  <c r="M170" i="2" l="1"/>
  <c r="S170" i="2"/>
  <c r="AB170" i="2"/>
  <c r="X170" i="2"/>
  <c r="K170" i="2"/>
  <c r="Q170" i="2"/>
  <c r="Z170" i="2"/>
  <c r="J170" i="2"/>
  <c r="N170" i="2"/>
  <c r="L170" i="2"/>
  <c r="T170" i="2"/>
  <c r="AA170" i="2"/>
  <c r="P170" i="2"/>
  <c r="O170" i="2"/>
  <c r="U170" i="2"/>
  <c r="W170" i="2"/>
  <c r="Y170" i="2"/>
  <c r="R170" i="2"/>
  <c r="V170" i="2"/>
  <c r="AC162" i="2"/>
  <c r="AC159" i="2" s="1"/>
  <c r="AC155" i="2"/>
  <c r="AC156" i="2"/>
  <c r="F22" i="2" s="1"/>
</calcChain>
</file>

<file path=xl/sharedStrings.xml><?xml version="1.0" encoding="utf-8"?>
<sst xmlns="http://schemas.openxmlformats.org/spreadsheetml/2006/main" count="1278" uniqueCount="703">
  <si>
    <t>Emission Factors and Constants</t>
  </si>
  <si>
    <t>Conversion Factors and Global Warming Potentials</t>
  </si>
  <si>
    <t>Conversion Factors</t>
  </si>
  <si>
    <t>Value</t>
  </si>
  <si>
    <t>Unit</t>
  </si>
  <si>
    <t>lbs.</t>
  </si>
  <si>
    <t>metric ton</t>
  </si>
  <si>
    <t>US ton</t>
  </si>
  <si>
    <t>kWh</t>
  </si>
  <si>
    <t>MWh</t>
  </si>
  <si>
    <t>GWh</t>
  </si>
  <si>
    <t>kg</t>
  </si>
  <si>
    <t>g</t>
  </si>
  <si>
    <t>cubic feet of natural gas</t>
  </si>
  <si>
    <t>therm</t>
  </si>
  <si>
    <t>MMBtu of propane</t>
  </si>
  <si>
    <t>gal propane</t>
  </si>
  <si>
    <t>MMBtu of distillate fuel</t>
  </si>
  <si>
    <t>gal diesel</t>
  </si>
  <si>
    <t>square meter</t>
  </si>
  <si>
    <t>square foot</t>
  </si>
  <si>
    <t>Global Warming Potentials</t>
  </si>
  <si>
    <t>Common Name</t>
  </si>
  <si>
    <t>Formula</t>
  </si>
  <si>
    <t>GWP</t>
  </si>
  <si>
    <t>Source</t>
  </si>
  <si>
    <t>Carbon Dioxide</t>
  </si>
  <si>
    <r>
      <t>CO</t>
    </r>
    <r>
      <rPr>
        <vertAlign val="subscript"/>
        <sz val="11"/>
        <color theme="1"/>
        <rFont val="Poppins"/>
      </rPr>
      <t>2</t>
    </r>
  </si>
  <si>
    <t>Methane</t>
  </si>
  <si>
    <r>
      <t>CH</t>
    </r>
    <r>
      <rPr>
        <vertAlign val="subscript"/>
        <sz val="11"/>
        <color theme="1"/>
        <rFont val="Poppins"/>
      </rPr>
      <t>4</t>
    </r>
  </si>
  <si>
    <t>Nitrous Oxide</t>
  </si>
  <si>
    <t>Constant Emission Factors</t>
  </si>
  <si>
    <t>Stationary Energy</t>
  </si>
  <si>
    <t>Electricity</t>
  </si>
  <si>
    <t>Greenhouse Gas</t>
  </si>
  <si>
    <t>Units</t>
  </si>
  <si>
    <t>Notes</t>
  </si>
  <si>
    <r>
      <t>N</t>
    </r>
    <r>
      <rPr>
        <vertAlign val="subscript"/>
        <sz val="11"/>
        <color theme="1"/>
        <rFont val="Poppins"/>
      </rPr>
      <t>2</t>
    </r>
    <r>
      <rPr>
        <sz val="11"/>
        <color theme="1"/>
        <rFont val="Poppins"/>
      </rPr>
      <t>O</t>
    </r>
  </si>
  <si>
    <t>Natural Gas</t>
  </si>
  <si>
    <r>
      <t>mt CO</t>
    </r>
    <r>
      <rPr>
        <vertAlign val="subscript"/>
        <sz val="11"/>
        <color theme="1"/>
        <rFont val="Poppins"/>
      </rPr>
      <t>2</t>
    </r>
    <r>
      <rPr>
        <sz val="11"/>
        <color theme="1"/>
        <rFont val="Poppins"/>
      </rPr>
      <t>/th</t>
    </r>
  </si>
  <si>
    <r>
      <t>mt CH</t>
    </r>
    <r>
      <rPr>
        <vertAlign val="subscript"/>
        <sz val="11"/>
        <color theme="1"/>
        <rFont val="Poppins"/>
      </rPr>
      <t>4</t>
    </r>
    <r>
      <rPr>
        <sz val="11"/>
        <color theme="1"/>
        <rFont val="Poppins"/>
      </rPr>
      <t>/th</t>
    </r>
  </si>
  <si>
    <r>
      <t>mt N</t>
    </r>
    <r>
      <rPr>
        <vertAlign val="subscript"/>
        <sz val="11"/>
        <color theme="1"/>
        <rFont val="Poppins"/>
      </rPr>
      <t>2</t>
    </r>
    <r>
      <rPr>
        <sz val="11"/>
        <color theme="1"/>
        <rFont val="Poppins"/>
      </rPr>
      <t>O/th</t>
    </r>
  </si>
  <si>
    <t>Propane</t>
  </si>
  <si>
    <t>Transportation</t>
  </si>
  <si>
    <t>Gasoline</t>
  </si>
  <si>
    <t>Vehicle Type</t>
  </si>
  <si>
    <t>All</t>
  </si>
  <si>
    <r>
      <t>mt CO</t>
    </r>
    <r>
      <rPr>
        <vertAlign val="subscript"/>
        <sz val="11"/>
        <color theme="1"/>
        <rFont val="Poppins"/>
      </rPr>
      <t>2</t>
    </r>
    <r>
      <rPr>
        <sz val="11"/>
        <color theme="1"/>
        <rFont val="Poppins"/>
      </rPr>
      <t>/gal</t>
    </r>
  </si>
  <si>
    <t>Passenger Vehicle</t>
  </si>
  <si>
    <r>
      <t>g CH</t>
    </r>
    <r>
      <rPr>
        <vertAlign val="subscript"/>
        <sz val="11"/>
        <color theme="1"/>
        <rFont val="Poppins"/>
      </rPr>
      <t>4</t>
    </r>
    <r>
      <rPr>
        <sz val="11"/>
        <color theme="1"/>
        <rFont val="Poppins"/>
      </rPr>
      <t>/mile</t>
    </r>
  </si>
  <si>
    <t>Light Truck</t>
  </si>
  <si>
    <t>Heavy Truck</t>
  </si>
  <si>
    <t>Motorcycle</t>
  </si>
  <si>
    <r>
      <t>g N</t>
    </r>
    <r>
      <rPr>
        <vertAlign val="subscript"/>
        <sz val="11"/>
        <color theme="1"/>
        <rFont val="Poppins"/>
      </rPr>
      <t>2</t>
    </r>
    <r>
      <rPr>
        <sz val="11"/>
        <color theme="1"/>
        <rFont val="Poppins"/>
      </rPr>
      <t>O/mile</t>
    </r>
  </si>
  <si>
    <t>Diesel</t>
  </si>
  <si>
    <t>Ethanol</t>
  </si>
  <si>
    <t>Light Duty</t>
  </si>
  <si>
    <t>Projected Changes in Electricity Emission Factors</t>
  </si>
  <si>
    <t>Transit</t>
  </si>
  <si>
    <t>Waste</t>
  </si>
  <si>
    <t>Aviation</t>
  </si>
  <si>
    <t xml:space="preserve">Total Emissions </t>
  </si>
  <si>
    <t>Community Business-As-Usual (BAU) Emission Projection</t>
  </si>
  <si>
    <t>MPGe</t>
  </si>
  <si>
    <t>kWh/mile</t>
  </si>
  <si>
    <t>gal gasoline equivalent</t>
  </si>
  <si>
    <t>Model Inputs and Background Data</t>
  </si>
  <si>
    <t>Data for Visual Summary</t>
  </si>
  <si>
    <t>Total</t>
  </si>
  <si>
    <t>kBtu of natural gas</t>
  </si>
  <si>
    <t>Sector</t>
  </si>
  <si>
    <t>Annual change in emissions</t>
  </si>
  <si>
    <t>Forecast Parameters</t>
  </si>
  <si>
    <t>On-Road Gasoline (gal)</t>
  </si>
  <si>
    <t>On-Road Gasoline VMT</t>
  </si>
  <si>
    <t>On-Road Diesel (gal)</t>
  </si>
  <si>
    <t>On-Road Diesel VMT</t>
  </si>
  <si>
    <t>On-Road Ethanol (gal)</t>
  </si>
  <si>
    <t>On-Road Ethanol VMT</t>
  </si>
  <si>
    <t>On-Road Electric Vehicle (kWh)</t>
  </si>
  <si>
    <t>Total VMT</t>
  </si>
  <si>
    <t>Average MPG - Gasoline Passenger Vehicles</t>
  </si>
  <si>
    <t>Average MPG - Gasoline Light Truck Vehicles</t>
  </si>
  <si>
    <t>Average MPG - Gasoline Heavy Vehicles</t>
  </si>
  <si>
    <t>Average MPG - Gasoline Motorcycles</t>
  </si>
  <si>
    <t>Average MPG - Diesel Passenger Vehicles</t>
  </si>
  <si>
    <t>Average MPG - Diesel Light Truck Vehicles</t>
  </si>
  <si>
    <t>Average MPG - Diesel Heavy Vehicles</t>
  </si>
  <si>
    <t>Average MPG - Ethanol Passenger Vehicles</t>
  </si>
  <si>
    <t>Average MPG - Ethanol Light Truck Vehicles</t>
  </si>
  <si>
    <t>Average MPG - Ethanol Heavy Vehicles</t>
  </si>
  <si>
    <t>Average MPG - Ethanol Motorcycles</t>
  </si>
  <si>
    <t>Diesel (gal)</t>
  </si>
  <si>
    <t>IPPU</t>
  </si>
  <si>
    <t>Railways</t>
  </si>
  <si>
    <t>Building Energy</t>
  </si>
  <si>
    <t>On-Road Transportation</t>
  </si>
  <si>
    <t>Scenario</t>
  </si>
  <si>
    <t>Description</t>
  </si>
  <si>
    <t>Workbook Introduction</t>
  </si>
  <si>
    <t>About the Tool</t>
  </si>
  <si>
    <t>How to Use the Tool</t>
  </si>
  <si>
    <t>Cell Color Legend</t>
  </si>
  <si>
    <t>This cell is an input value that the user can adjust or update.</t>
  </si>
  <si>
    <t>This is a value that may be updated infrequently (e.g., emission factors).</t>
  </si>
  <si>
    <t>White, grey, or black cells are text or formulas and should not be edited.</t>
  </si>
  <si>
    <t>Tool Contents</t>
  </si>
  <si>
    <t>Worksheet</t>
  </si>
  <si>
    <t>Business-As-Usual</t>
  </si>
  <si>
    <t>Referenced Values</t>
  </si>
  <si>
    <t>All constant emission factors referenced in emission calculations and other values referenced across the workbook.</t>
  </si>
  <si>
    <t>Contains the primary forecast parameters used in the BAU and model calculations.</t>
  </si>
  <si>
    <t>kBtu</t>
  </si>
  <si>
    <t>N/A</t>
  </si>
  <si>
    <t>Wood</t>
  </si>
  <si>
    <t>Total Electricity (kWh)</t>
  </si>
  <si>
    <t>Wood (MMBtu)</t>
  </si>
  <si>
    <t>Gasoline (gal)</t>
  </si>
  <si>
    <t>On-Road Electric Vehicle T&amp;D (kWh)</t>
  </si>
  <si>
    <t>On-Road Electric Vehicle VMT</t>
  </si>
  <si>
    <t>On-Road</t>
  </si>
  <si>
    <t>Off-Road</t>
  </si>
  <si>
    <t>Projected Changes in Vehicle Fuel Efficiencies</t>
  </si>
  <si>
    <t>Fuel Economy</t>
  </si>
  <si>
    <t>MPGe Change YOY</t>
  </si>
  <si>
    <t>Variable</t>
  </si>
  <si>
    <t>Electric Vehicle Adoption</t>
  </si>
  <si>
    <t>Heating Degree Day Projections</t>
  </si>
  <si>
    <t>Cooling Degree Day Projections</t>
  </si>
  <si>
    <t>cubic meters</t>
  </si>
  <si>
    <t>cubic feet</t>
  </si>
  <si>
    <t>Energy Consumption Constants</t>
  </si>
  <si>
    <t>General Forecast Parameters</t>
  </si>
  <si>
    <t>Activity and Emissions Calculations</t>
  </si>
  <si>
    <t>Mobile Transportation</t>
  </si>
  <si>
    <t>Emissions Calculations</t>
  </si>
  <si>
    <t>Emissions Data and Calculations</t>
  </si>
  <si>
    <t>Activity Data and Calculations</t>
  </si>
  <si>
    <t>Total Emissions</t>
  </si>
  <si>
    <t>On-Road - Internal Combustion Engine (ICE)</t>
  </si>
  <si>
    <t>On-Road - Electric Vehicle (EV)</t>
  </si>
  <si>
    <t>Vehicle Miles Traveled (VMT)</t>
  </si>
  <si>
    <t>Electric Emissions (mt co2e)</t>
  </si>
  <si>
    <t>T&amp;D Emissions (mt co2e)</t>
  </si>
  <si>
    <t>Transportation Forecast Parameters</t>
  </si>
  <si>
    <t>Internal Combustion Engine (ICE)</t>
  </si>
  <si>
    <t>Electric Vehicle (EV)</t>
  </si>
  <si>
    <t>Buildings Forecast Parameters</t>
  </si>
  <si>
    <t>Waste and Wastewater</t>
  </si>
  <si>
    <t>Equipment</t>
  </si>
  <si>
    <t>Residential: Air Source Heat Pump (COP)</t>
  </si>
  <si>
    <t>Commercial: Air Source Heat Pump (COP)</t>
  </si>
  <si>
    <t>Residential: Heat Pump Water Heater (COP)</t>
  </si>
  <si>
    <t>Residential: Heat Pump Water Heater (EF)</t>
  </si>
  <si>
    <t>Commercial: Heat Pump Water Heater (COP)</t>
  </si>
  <si>
    <t>Commercial: Heat Pump Water Heater (EF)</t>
  </si>
  <si>
    <t>AFOLU</t>
  </si>
  <si>
    <t>1) Projected population estimates from 2020-2050 in Bernalillo, Sandoval, Torrance, and Valencia counties were obtained from the University of New Mexico's Population Projections. The population projections across the four county region were summed together to estimate the population forecast for the Albuquerque Metropolitan Statistical Area (MSA).  Spreadsheet on file. https://gps.unm.edu/pop/population-projections.html</t>
  </si>
  <si>
    <t>Projected Heating Degree Days: Bernalillo</t>
  </si>
  <si>
    <t>Projected Heating Degree Days: Sandoval</t>
  </si>
  <si>
    <t>Projected Cooling Degree Days: Bernalillo</t>
  </si>
  <si>
    <t>Projected Cooling Degree Days: Sandoval</t>
  </si>
  <si>
    <t>Projected Cooling Degree Days: Torrance</t>
  </si>
  <si>
    <t>Projected Heating Degree Days: Torrance</t>
  </si>
  <si>
    <t>Projected Cooling Degree Days: Valencia</t>
  </si>
  <si>
    <t>Projected Heating Degree Days: Valencia</t>
  </si>
  <si>
    <t>New Mexico Statewide Projected Electricity Emission Factors (mt CO2e/MWh)</t>
  </si>
  <si>
    <t>Population</t>
  </si>
  <si>
    <t>Jobs</t>
  </si>
  <si>
    <t>Bernalillo County</t>
  </si>
  <si>
    <t>Sandoval County</t>
  </si>
  <si>
    <t>Torrance County</t>
  </si>
  <si>
    <t>Valencia County</t>
  </si>
  <si>
    <t>Albuquerque MSA</t>
  </si>
  <si>
    <t>Year-Over-Year Change</t>
  </si>
  <si>
    <t>Cars &amp; SUVs</t>
  </si>
  <si>
    <t>Buses</t>
  </si>
  <si>
    <t>Motorbikes</t>
  </si>
  <si>
    <t>Projected Heating Degree Days: New Mexico</t>
  </si>
  <si>
    <t>Projected Cooling Degree Days: New Mexico</t>
  </si>
  <si>
    <t>Residential Electricity (kWh)</t>
  </si>
  <si>
    <t>T&amp;D Losses (kWh)</t>
  </si>
  <si>
    <t>Electricity - T&amp;D Loss Rate</t>
  </si>
  <si>
    <t>Residential Natural Gas (th)</t>
  </si>
  <si>
    <t>Commercial and Industrial Natural Gas (th)</t>
  </si>
  <si>
    <t>Other (Propane &amp; Wood)</t>
  </si>
  <si>
    <t>Natural Gas Fugitive Emissions</t>
  </si>
  <si>
    <t>Average Natural Gas Fugitive Loss Rate</t>
  </si>
  <si>
    <t>Residential Electricity (mt CO2e)</t>
  </si>
  <si>
    <t>Total Electricity (mt CO2e)</t>
  </si>
  <si>
    <t>T&amp;D Losses (mt CO2e)</t>
  </si>
  <si>
    <t>New Mexico Gas Company's 2023 Annual Energy Efficiency Measurement and Verification Report: https://www.nmgco.com/userfiles/files/22-00232-UT%20-%202024-06-26%20-%20NMGC's%202023%20Energy%20Efficiency%20Program%20Annual%20Report.pdf.</t>
  </si>
  <si>
    <t>ICLEI’s U.S. Community Protocol for Accounting and Reporting of Greenhouse Gas Emissions (Community Protocol) – Appendix C: Built Environment Emission Activities and Sources, Version 1.1, July 2013: http://icleiusa.org/ghg-protocols/. Value is 0.005 kg CH4/MMBtu.  Value is 0.0001 kg N2O/MMBtu.</t>
  </si>
  <si>
    <t xml:space="preserve">ICLEI’s U.S. Community Protocol for Accounting and Reporting of Greenhouse Gas Emissions (Community Protocol) – Appendix C: Built Environment Emission Activities and Sources, Version 1.1, July 2013: http://icleiusa.org/ghg-protocols/.  Assumes distillate fuel oil number 2 and that diesel is primarily used in generators by the industrial sector. </t>
  </si>
  <si>
    <r>
      <t>Biogenic CO</t>
    </r>
    <r>
      <rPr>
        <vertAlign val="subscript"/>
        <sz val="11"/>
        <color theme="1"/>
        <rFont val="Poppins"/>
      </rPr>
      <t>2</t>
    </r>
  </si>
  <si>
    <t>kg/MMBTU</t>
  </si>
  <si>
    <t xml:space="preserve">ICLEI’s U.S. Community Protocol for Accounting and Reporting of Greenhouse Gas Emissions (Community Protocol) – Appendix C: Built Environment Emission Activities and Sources, Version 1.1, July 2013: http://icleiusa.org/ghg-protocols/.  </t>
  </si>
  <si>
    <t xml:space="preserve">EPA Emission Factors for GHG Inventories: https://www.epa.gov/system/files/documents/2024-02/ghg-emission-factors-hub-2024.pdf. </t>
  </si>
  <si>
    <t>Heavy Vehicle (Bus)</t>
  </si>
  <si>
    <r>
      <t>mt CH</t>
    </r>
    <r>
      <rPr>
        <vertAlign val="subscript"/>
        <sz val="11"/>
        <color theme="1"/>
        <rFont val="Poppins"/>
      </rPr>
      <t>4</t>
    </r>
    <r>
      <rPr>
        <sz val="11"/>
        <color theme="1"/>
        <rFont val="Poppins"/>
      </rPr>
      <t>/gal</t>
    </r>
  </si>
  <si>
    <r>
      <t>mt N</t>
    </r>
    <r>
      <rPr>
        <vertAlign val="subscript"/>
        <sz val="11"/>
        <color theme="1"/>
        <rFont val="Poppins"/>
      </rPr>
      <t>2</t>
    </r>
    <r>
      <rPr>
        <sz val="11"/>
        <color theme="1"/>
        <rFont val="Poppins"/>
      </rPr>
      <t>O/gal</t>
    </r>
  </si>
  <si>
    <t>Vehicle Type/Fuel</t>
  </si>
  <si>
    <t>Light Trucks</t>
  </si>
  <si>
    <t>Motorcycles</t>
  </si>
  <si>
    <t>Passenger Cars</t>
  </si>
  <si>
    <t>Albuquerque's MSA 2023 GHG Inventory</t>
  </si>
  <si>
    <t>Electric</t>
  </si>
  <si>
    <t>Percent Total VMT - Passenger Vehicles</t>
  </si>
  <si>
    <t>Percent Total VMT - Light Truck</t>
  </si>
  <si>
    <t>Percent Total VMT - Heavy Truck</t>
  </si>
  <si>
    <t>Percent Total VMT - Motorcycle</t>
  </si>
  <si>
    <t>Internal Combustion Engine: VMT by Vehicle &amp; Fuel Type</t>
  </si>
  <si>
    <t>Internal Combustion Engine: Share of VMT by Vehicle &amp; Fuel Type</t>
  </si>
  <si>
    <t>Electric Vehicle: VMT by Vehicle &amp; Fuel Type</t>
  </si>
  <si>
    <t>Electric Vehicle: Share of VMT by Vehicle &amp; Fuel Type</t>
  </si>
  <si>
    <t>Fuel Consumption</t>
  </si>
  <si>
    <t>Average kWh/mile - Evs Light Truck Vehicle</t>
  </si>
  <si>
    <t>Average kWh/mile - Evs Medium/Heavy Vehicles</t>
  </si>
  <si>
    <t>Average kWh/mile - Motorcycles</t>
  </si>
  <si>
    <t>Passenger Vehicles</t>
  </si>
  <si>
    <t>Electric (kWh)</t>
  </si>
  <si>
    <t>Ethanol (gal)</t>
  </si>
  <si>
    <t>Gasoline (mt co2e)</t>
  </si>
  <si>
    <t>Diesel (mt co2e)</t>
  </si>
  <si>
    <t>Ethanol (mt co2e)</t>
  </si>
  <si>
    <t>Diesel - Rail (gal)</t>
  </si>
  <si>
    <t>Diesel - Bus (gal)</t>
  </si>
  <si>
    <t>Electric - Bus (kWh)</t>
  </si>
  <si>
    <t>Light-Duty Vehicles</t>
  </si>
  <si>
    <t>Average Car Stock Miles per Gasoline Gallon Equivalent</t>
  </si>
  <si>
    <t>Medium-Duty Vehicles</t>
  </si>
  <si>
    <t>Heavy-Duty Vehicles</t>
  </si>
  <si>
    <t>Class 6 Medium Box Truck - Battery Electric Vehicle, kWh/mile) - EPA65</t>
  </si>
  <si>
    <t>Midsize passenger car - Battery Electric Vehicle, kWh/mile , 200 mile range</t>
  </si>
  <si>
    <t>Pickup Truck - Battery Electric Vehicle, kWh/mile , 200 mile range</t>
  </si>
  <si>
    <t xml:space="preserve">Lotus analysis of EPA SIT data to determine a weighted average of emissions across model years and technology. Spreadsheet on file. Data from: EPA Emission Factors for GHG Inventories: https://www.epa.gov/system/files/documents/2024-02/ghg-emission-factors-hub-2024.pdf. </t>
  </si>
  <si>
    <t>Heavy Vehicle</t>
  </si>
  <si>
    <t>Total Natural Gas Consumption (mt co2e)</t>
  </si>
  <si>
    <t>Total Fugitive Natural Gas (mt co2e)</t>
  </si>
  <si>
    <t>Total natural gas and natural gas fugitive emissions for the MSA region were obtained from Albuquerque's 2023 Greenhouse Gas Inventory.  It is assumed this average loss rate will remain constant over time.</t>
  </si>
  <si>
    <t>CNG (mt co2e)</t>
  </si>
  <si>
    <t>Residential Natural Gas (mt CO2e)</t>
  </si>
  <si>
    <t>Commercial and Industrial Natural Gas (mt CO2e)</t>
  </si>
  <si>
    <t>Wood (mt CO2e)</t>
  </si>
  <si>
    <t>Fugitive Natural Gas (mt CO2e)</t>
  </si>
  <si>
    <t>Heavy Trucks</t>
  </si>
  <si>
    <t>Hybrid Cars</t>
  </si>
  <si>
    <t>Hybrid Light Trucks</t>
  </si>
  <si>
    <t>Battery Electric</t>
  </si>
  <si>
    <t>Plug-in Hybrid</t>
  </si>
  <si>
    <t>On-Road Transportation Business-As-Usual (BAU) Emission Projection</t>
  </si>
  <si>
    <t>Building Energy Business-As-Usual (BAU) Emission Projection</t>
  </si>
  <si>
    <t>VMT</t>
  </si>
  <si>
    <t>Gasoline Hybrid</t>
  </si>
  <si>
    <t>Ethanol Hybrid</t>
  </si>
  <si>
    <t>Average MPG - Gasoline Hybrid Vehicles</t>
  </si>
  <si>
    <t>Average MPG - Ethanol Hybrid Vehicles</t>
  </si>
  <si>
    <t>Average MPG - Gasoline Light Truck Hybrid Vehicles</t>
  </si>
  <si>
    <t>Average MPG - Ethanol Light Truck Hybrid Vehicles</t>
  </si>
  <si>
    <t>Assumes that all BEVs and PHEVs in 2023 are passenger vehicles.</t>
  </si>
  <si>
    <t>Plug-In Hybrid Electric Vehicles (PHEVs)</t>
  </si>
  <si>
    <t>Average MPG - Gasoline Plug-in Hybrid Vehicles</t>
  </si>
  <si>
    <t>Average MPG - Ethanol Plug-in Hybrid Vehicles</t>
  </si>
  <si>
    <t>Plug-in Hybrid Cars</t>
  </si>
  <si>
    <t>Gasoline Plug-in Hybrid</t>
  </si>
  <si>
    <t>Ethanol Plug-in Hybrid</t>
  </si>
  <si>
    <t>Average kWh/mile - Battery Electric Passenger Vehicle</t>
  </si>
  <si>
    <t>Average kWh/mile - Plug-in Hybrid Passenger Vehicle</t>
  </si>
  <si>
    <t>PHEV % of VMT that is electric</t>
  </si>
  <si>
    <t>PHEV % of VMT that is gasoline</t>
  </si>
  <si>
    <t>CNG</t>
  </si>
  <si>
    <t>Percent Total VMT - Buses</t>
  </si>
  <si>
    <t>Fossil Fuels</t>
  </si>
  <si>
    <t>Total Electricity Emissions</t>
  </si>
  <si>
    <t>Total T&amp;D Electricity Emissions</t>
  </si>
  <si>
    <t>Total Fossil Fuel Emissions</t>
  </si>
  <si>
    <t>Emissions</t>
  </si>
  <si>
    <t>Transit VMT by Fuel Type</t>
  </si>
  <si>
    <t>% VMT</t>
  </si>
  <si>
    <t>Transit Fuel Consumption by Fuel Type</t>
  </si>
  <si>
    <t>Gallons</t>
  </si>
  <si>
    <t>scf</t>
  </si>
  <si>
    <t>Albuquerque's MSA 2023 GHG Inventory.
Gasoline is assumed to contain 10% ethanol.</t>
  </si>
  <si>
    <t>Transit Calculated Fuel Economy</t>
  </si>
  <si>
    <t>mile/gallon</t>
  </si>
  <si>
    <t>mile/scf</t>
  </si>
  <si>
    <t>mile/kWh</t>
  </si>
  <si>
    <t>Fuel economy for transit vehicles is calculated based on VMT and fuel consumption data collected for Albuquerque's MSA 2023 GHG Inventory.</t>
  </si>
  <si>
    <t>Average kWh/mile - Battery Electric</t>
  </si>
  <si>
    <t>Average MPG - Gasoline</t>
  </si>
  <si>
    <t>Average MPG - Ethanol</t>
  </si>
  <si>
    <t>Average MPG - Diesel</t>
  </si>
  <si>
    <t>CNG (scf)</t>
  </si>
  <si>
    <t>Average mile/scf - CNG</t>
  </si>
  <si>
    <r>
      <t>mt CO</t>
    </r>
    <r>
      <rPr>
        <vertAlign val="subscript"/>
        <sz val="11"/>
        <color theme="1"/>
        <rFont val="Poppins"/>
      </rPr>
      <t>2</t>
    </r>
    <r>
      <rPr>
        <sz val="11"/>
        <color theme="1"/>
        <rFont val="Poppins"/>
      </rPr>
      <t>/scf</t>
    </r>
  </si>
  <si>
    <t>Heavy Duty</t>
  </si>
  <si>
    <t>NREL EFS</t>
  </si>
  <si>
    <t>Electric Equipment Efficiency Forecast</t>
  </si>
  <si>
    <t>Heat Pump Sales</t>
  </si>
  <si>
    <t>Residential: Air Source Heat Pump Water Heater</t>
  </si>
  <si>
    <t>Commercial: Air Source Heat Pump Water Heater</t>
  </si>
  <si>
    <t>New Construction Square Footage</t>
  </si>
  <si>
    <t>Code Compliance</t>
  </si>
  <si>
    <t>Average Annual Existing Square Footage Updated to latest building codes</t>
  </si>
  <si>
    <t>New Construction Compliance</t>
  </si>
  <si>
    <t>Input</t>
  </si>
  <si>
    <t>Assumptions</t>
  </si>
  <si>
    <t>https://www.energycodes.gov/sites/default/files/2021-07/2021_IECC_Final_Determination_AnalysisTSD.pdf
https://www.energycodes.gov/sites/default/files/2021-07/EERE-2018-BT-DET-0014-0008.pdf</t>
  </si>
  <si>
    <t>Residential 2021 IECC EUI (kBtu/sf)</t>
  </si>
  <si>
    <t>Commercial 2021 IECC EUI (kBtu/sf)</t>
  </si>
  <si>
    <t>Energy Use Intensities for 2021 IECC</t>
  </si>
  <si>
    <t>Building Code Adoption</t>
  </si>
  <si>
    <t>Commercial</t>
  </si>
  <si>
    <t>Energy use by fuel type for the 2021 IECC</t>
  </si>
  <si>
    <t>Share of total residential energy use that is electricity</t>
  </si>
  <si>
    <t>Share of total residential energy use that is natural gas</t>
  </si>
  <si>
    <t>Share of total commercial energy use that is electricity</t>
  </si>
  <si>
    <t>Share of total commercial energy use that is natural gas</t>
  </si>
  <si>
    <t>Average Existing Building Energy Use Intensities</t>
  </si>
  <si>
    <t xml:space="preserve">Based on an analysis of NREL ComStock data for buildings in Albuquerque-Santa Fe Area. </t>
  </si>
  <si>
    <t>Commercial EUI (kBtu/sf)</t>
  </si>
  <si>
    <t>Obtained from the EIA's CBECs Table C9. Consumption and gross energy intensity by census division (part 3) for sum of major fuels, 2018.  Values were obtained for the Mountain census division.</t>
  </si>
  <si>
    <t>Annual additional electricity use (kWh)</t>
  </si>
  <si>
    <t>Baseline Electrification</t>
  </si>
  <si>
    <t>Space Heating</t>
  </si>
  <si>
    <t>Baseline Heat Pump Adoption</t>
  </si>
  <si>
    <t>Percent of total energy use by heat pumps used for heating</t>
  </si>
  <si>
    <t>Percent of commercial square feet with cooling</t>
  </si>
  <si>
    <t>https://www.eia.gov/consumption/commercial/data/2018/ce/pdf/c9.pdf</t>
  </si>
  <si>
    <t>Share of commercial sf that is multifamily under 4 stories (Taken from NREL ResStock and ComStock)</t>
  </si>
  <si>
    <t>Projected Changes in Commercial Square Footage</t>
  </si>
  <si>
    <t>Projected Changes in Households</t>
  </si>
  <si>
    <t>Households (Excludes households &gt;3 stories)</t>
  </si>
  <si>
    <t>Commercial and Industrial Square Footage (Excludes Multifamily &lt;4 stories)</t>
  </si>
  <si>
    <t>Commercial and Industrial Square Footage (Includes Multifamily)</t>
  </si>
  <si>
    <t>Share of residential households that are in buildings &gt;3 stories (Taken from NREL ResStock)</t>
  </si>
  <si>
    <t>Code Compliant Square Footage</t>
  </si>
  <si>
    <t>Taken from PNNL studies on energy savings from each code cycle. The counties within the ABQ MSA fall within multiple climate zones (4B and 5B). The weighted average EUI based on the share of square footage and households within each climate zone are used.</t>
  </si>
  <si>
    <t>Code Non-Compliant Square Footage</t>
  </si>
  <si>
    <t>Annual new energy use without code compliance (kBtu)</t>
  </si>
  <si>
    <t>Residential</t>
  </si>
  <si>
    <t>ComStock weighted average EUI for commercial buildings in the ABQ MSA.</t>
  </si>
  <si>
    <t>https://comstock.nrel.gov/</t>
  </si>
  <si>
    <t>Median size per housing unit</t>
  </si>
  <si>
    <t>Average size of housing units taken from NREL ResStock</t>
  </si>
  <si>
    <t>https://resstock.nrel.gov/datasets</t>
  </si>
  <si>
    <t xml:space="preserve">Based on an analysis of NREL ResStock data for buildings in Albuquerque-Santa Fe Area. </t>
  </si>
  <si>
    <t>ResStock weighted average EUI for housing units in the ABQ MSA.</t>
  </si>
  <si>
    <t>Total Households</t>
  </si>
  <si>
    <t>Business-As-Usual Share of New Sales that are Heat Pumps</t>
  </si>
  <si>
    <t>Households Replacing or purchasing Equipment</t>
  </si>
  <si>
    <t>Equipment Data</t>
  </si>
  <si>
    <t>Average lifespan of space heating, space cooling, and water heating equipment (years)</t>
  </si>
  <si>
    <t>Electrification is modeled based on expected equipment replacement schedules. This follows the method used in the Energy Policy Simulator which assumes an equipment life of 14 years. The model assumes that every year 1/14th of existing households/buildings are served by equipment that needs to be replaced.</t>
  </si>
  <si>
    <t>Building Codes</t>
  </si>
  <si>
    <t>Building Electrification</t>
  </si>
  <si>
    <t>Average annual natural gas used for space heating (MMBtu/household)</t>
  </si>
  <si>
    <t>Residential Energy Consumption Survey Data table CE4.6: https://www.eia.gov/consumption/residential/data/2020/index.php?view=consumption#by%20End%20uses%20by%20fuel</t>
  </si>
  <si>
    <t>Average annual propane used for space heating (MMBtu/household)</t>
  </si>
  <si>
    <t>Average annual electricity used for space heating (MMBtu/household)</t>
  </si>
  <si>
    <t>Residential Energy Consumption Survey Data table HC 4.10: https://www.eia.gov/consumption/residential/data/2020/c&amp;e/pdf/ce4.10.pdf</t>
  </si>
  <si>
    <t>Percent of Space Heating from Electric Heat Pumps</t>
  </si>
  <si>
    <t>Percent of Space Heating from Electric Resistance</t>
  </si>
  <si>
    <t>Based on end use consumption by fuel type for the Mountain South region.</t>
  </si>
  <si>
    <t>Average site heating electricity consumption per household for the Mountain South region.</t>
  </si>
  <si>
    <t>Percent of Space Heating from Natural Gas</t>
  </si>
  <si>
    <t>Residential: Air Source &amp; Ground Heat Pumps</t>
  </si>
  <si>
    <t xml:space="preserve">Commercial: Air Source &amp; Ground Heat Pumps </t>
  </si>
  <si>
    <t>Percent of Space Heating from Propane</t>
  </si>
  <si>
    <t xml:space="preserve">Residential Energy Consumption Survey Data table HC6.https://www.eia.gov/consumption/residential/data/2020/hc/pdf/HC%206.8.pdf </t>
  </si>
  <si>
    <t>Electric Resistance</t>
  </si>
  <si>
    <t>Electric Heated Households Replacing Equipment</t>
  </si>
  <si>
    <t>Households upgraded to heat pumps</t>
  </si>
  <si>
    <t>Baseline Equipment Electricity Use (MMBtu)</t>
  </si>
  <si>
    <t>Natural Gas Heated Households Replacing Equipment</t>
  </si>
  <si>
    <t>Households upgraded to heat pump</t>
  </si>
  <si>
    <t>Baseline Equipment Natural Gas Use (MMBtu)</t>
  </si>
  <si>
    <t>Additional Electricity from Heat Pump Adoption (MMBtu)</t>
  </si>
  <si>
    <t>Based on space heating fuel types in the Mountain Region</t>
  </si>
  <si>
    <t>Electricity use with Heat Pumps (MMBtu)</t>
  </si>
  <si>
    <t>Fossil fuel furnace efficiency</t>
  </si>
  <si>
    <t>Based on mid-range values used in NREL's BEopt tool.</t>
  </si>
  <si>
    <t>https://www.nrel.gov/buildings/beopt.html</t>
  </si>
  <si>
    <t>Electric space heater efficiency</t>
  </si>
  <si>
    <t>Propane Heated Households Replacing Equipment</t>
  </si>
  <si>
    <t>Baseline Equipment Propane Use (MMBtu)</t>
  </si>
  <si>
    <t>Net Changes</t>
  </si>
  <si>
    <t>Cumulative Net Change in Natural Gas (MMBtu)</t>
  </si>
  <si>
    <t>Cumulative Net Change in Electricity (MMBtu)</t>
  </si>
  <si>
    <t>Cumulative Net Change in Propane (MMBtu)</t>
  </si>
  <si>
    <t>Square footage replacing or purchasing equipment</t>
  </si>
  <si>
    <t>Commercial and Industrial Square Footage (Excludes Multifamily)</t>
  </si>
  <si>
    <t>Total households with equipment replaced</t>
  </si>
  <si>
    <t>Years to remove past electrification from eligible equipment</t>
  </si>
  <si>
    <t>Total square footage with equipment replaced</t>
  </si>
  <si>
    <t>Electric Heated Square Footage Replacing Equipment</t>
  </si>
  <si>
    <t>Square Footage upgraded to heat pumps</t>
  </si>
  <si>
    <t>Natural Gas Heated Square Footage Replacing Equipment</t>
  </si>
  <si>
    <t>Square Footage upgraded to heat pump</t>
  </si>
  <si>
    <t>Average site heating electricity consumption per square foot for the Mountain region.</t>
  </si>
  <si>
    <t>Average annual natural gas used for space heating (kBtu/sf)</t>
  </si>
  <si>
    <t>Based on end use consumption by fuel type for the Mountain region.</t>
  </si>
  <si>
    <t>Average annual electricity used for space heating (kBtu/sf)</t>
  </si>
  <si>
    <t>Commercial Building Energy Consumption Survey Data table E7: https://www.eia.gov/consumption/commercial/data/2018/ce/pdf/e7.pdf</t>
  </si>
  <si>
    <t>Commercial Building Energy Consumption Survey Data table E4: https://www.eia.gov/consumption/commercial/data/2018/ce/pdf/e4.pdf</t>
  </si>
  <si>
    <t>Average annual propane used for space heating (kBtu/sf)</t>
  </si>
  <si>
    <t>Based on share of weighted square footage from ComStock, filtered to the ABQ MSA.</t>
  </si>
  <si>
    <t>Weighted average space heating energy use from propane.</t>
  </si>
  <si>
    <t>Propane Heated Square Footage Replacing Equipment</t>
  </si>
  <si>
    <t>Water Heating</t>
  </si>
  <si>
    <t>Business-As-Usual Share of New Sales that are Heat Pump Water Heaters</t>
  </si>
  <si>
    <t>Average annual natural gas used for water heating (MMBtu/household)</t>
  </si>
  <si>
    <t>Average annual propane used for water heating (MMBtu/household)</t>
  </si>
  <si>
    <t>Average annual electricity used for water heating (MMBtu/household)</t>
  </si>
  <si>
    <t>Percent of water Heating from Natural Gas</t>
  </si>
  <si>
    <t>Based on water heating fuel types in the Mountain Region</t>
  </si>
  <si>
    <t>Percent of water Heating from Propane</t>
  </si>
  <si>
    <t>Percent of water Heating from Electric Resistance</t>
  </si>
  <si>
    <t>Fossil Fuel Water Heater Energy Factor</t>
  </si>
  <si>
    <t>Electric Resistance Water Heater Energy Factor</t>
  </si>
  <si>
    <t>Average annual natural gas used for water heating (kBtu/sf)</t>
  </si>
  <si>
    <t>Average annual electricity used for water heating (kBtu/sf)</t>
  </si>
  <si>
    <t>Electric Water Heating Households Replacing Equipment</t>
  </si>
  <si>
    <t>Propane Water Heating Households Replacing Equipment</t>
  </si>
  <si>
    <t>Natural Gas Water Heating Households Replacing Equipment</t>
  </si>
  <si>
    <t>Electric Water Heating Square Footage Replacing Equipment</t>
  </si>
  <si>
    <t>Natural Gas Water Heating Square Footage Replacing Equipment</t>
  </si>
  <si>
    <t>Tri-State's Projected Electricity Emission Factor (mt CO2e/MWh)</t>
  </si>
  <si>
    <t>Cumulative Impact of Baseline Building Drivers</t>
  </si>
  <si>
    <t>Commercial Natural Gas (th)</t>
  </si>
  <si>
    <t>short ton</t>
  </si>
  <si>
    <t>1) New Mexico's projected statewide emission factor was taken from the Rocky Mountain Institute's Energy Policy Simulator: https://energypolicy.solutions/home/newmexico/en</t>
  </si>
  <si>
    <t>3) Tri-State's emission factor in 2005 is estimated at 1,894 lb/MWh and 1,706 lb/MWh in 2019.  These emission factors are assumed to be reported in pounds of carbon dioxide and were obtained from their issue brief released in May 2020 titled "Tri-State's Carbon Rate" (on file).</t>
  </si>
  <si>
    <t>2) Tri-State's website states the following goals for emissions reductions over time: "Established our glide path to reduce emissions associated with wholesale electricity sales in Colorado relative to a 2005 baseline by 26% in 2025, 36% in 2026, 46% in 2027, and 80% by 2030." (Screenshot of website on file).  It is assumed that emissions linearly decrease between Tri-State's goal years.</t>
  </si>
  <si>
    <t>Tri-State's Projected Electricity Emission Factor (mt CO2/MWh)</t>
  </si>
  <si>
    <t>PNM's Projected Electricity Emission Factor (mt CO2/MWh)</t>
  </si>
  <si>
    <t>PNM's Projected Electricity Emission Factor (mt CO2e/MWh)</t>
  </si>
  <si>
    <t>Statewide Emission Factor</t>
  </si>
  <si>
    <t>Tri-State Emission Factor</t>
  </si>
  <si>
    <t>PNM Emission Factor</t>
  </si>
  <si>
    <t>Light-Duty Cars</t>
  </si>
  <si>
    <t>Light-Duty Trucks</t>
  </si>
  <si>
    <t>Transit Buses</t>
  </si>
  <si>
    <t>Medium- &amp; Heavy-Duty Vehicles</t>
  </si>
  <si>
    <t>Total Check</t>
  </si>
  <si>
    <t>Electric - Bus T&amp;D Losses (kWh)</t>
  </si>
  <si>
    <t>Compost generated (short ton)</t>
  </si>
  <si>
    <t>Recycling generated (short ton)</t>
  </si>
  <si>
    <t>YOY Change</t>
  </si>
  <si>
    <t>Landfilled Waste: MSW (short ton)</t>
  </si>
  <si>
    <t>Landfilled Waste: C&amp;D (short ton)</t>
  </si>
  <si>
    <t>PNM Electricity</t>
  </si>
  <si>
    <t>Tri-State Electricity</t>
  </si>
  <si>
    <t>Residential Propane (gal)</t>
  </si>
  <si>
    <t>Commercial Propane (gal)</t>
  </si>
  <si>
    <t>PNM</t>
  </si>
  <si>
    <t>Provider</t>
  </si>
  <si>
    <t>Tri-State</t>
  </si>
  <si>
    <t>Email from Alaric Babej. PDF on file.</t>
  </si>
  <si>
    <t>EIA State Electricity Profile for NM: https://www.eia.gov/electricity/state/newmexico/.</t>
  </si>
  <si>
    <t>PNM: Residential Electricity (kWh)</t>
  </si>
  <si>
    <t>PNM: Commercial Electricity (kWh)</t>
  </si>
  <si>
    <t>Tri-State: Residential Electricity (kWh)</t>
  </si>
  <si>
    <t>Tri-State: Commercial Electricity (kWh)</t>
  </si>
  <si>
    <t>Commercial &amp; Industrial Electricity (kWh)</t>
  </si>
  <si>
    <t>Type/Fuel</t>
  </si>
  <si>
    <t>%</t>
  </si>
  <si>
    <t>Total Energy Consumption</t>
  </si>
  <si>
    <t>Trillion Btu</t>
  </si>
  <si>
    <t>EIA Residential Energy Consumption Survey 2020 Mountain North Region - Table CE4.10 Annual Household Site End-Use Consumption by fuel in the West - Averages: https://www.eia.gov/consumption/residential/data/2020/c&amp;e/pdf/ce4.5.pdf</t>
  </si>
  <si>
    <t>Space Heating Consumption</t>
  </si>
  <si>
    <t>Space Cooling Consumption</t>
  </si>
  <si>
    <t>Baseline Consumption</t>
  </si>
  <si>
    <t>Water Heating Consumption</t>
  </si>
  <si>
    <t>T&amp;D and Leakage</t>
  </si>
  <si>
    <t>Commercial &amp; Industrial Electricity (mt CO2e)</t>
  </si>
  <si>
    <t>Residential Propane (mt CO2e)</t>
  </si>
  <si>
    <t>Commercial Propane (mt CO2e)</t>
  </si>
  <si>
    <t>Residential Refrigerants (mt CO2e)</t>
  </si>
  <si>
    <t>On-Road Gasoline Emissions  (mt CO2e)</t>
  </si>
  <si>
    <t>On-Road Diesel Emissions  (mt CO2e)</t>
  </si>
  <si>
    <t>On-Road Ethanol Emissions (mt CO2e)</t>
  </si>
  <si>
    <t>Total On-Road Gasoline, Diesel, and Ethanol Emissions (mt CO2e)</t>
  </si>
  <si>
    <t>Electric Vehicle Emissions (mt CO2e)</t>
  </si>
  <si>
    <t>Electric Vehicle Emissions (T&amp;D) (mt CO2e)</t>
  </si>
  <si>
    <t>Off-Road Emissions  (mt CO2e)</t>
  </si>
  <si>
    <t>Rail: Diesel (mt CO2e)</t>
  </si>
  <si>
    <t>Bus: CNG (mt CO2e)</t>
  </si>
  <si>
    <t>Bus: Diesel (mt CO2e)</t>
  </si>
  <si>
    <t>Bus: Gasoline (mt CO2e)</t>
  </si>
  <si>
    <t>Bus: Electric (mt CO2e)</t>
  </si>
  <si>
    <t>Bus: Electric T&amp;D Losses (mt CO2e)</t>
  </si>
  <si>
    <t>Railway Emissions (mt CO2e)</t>
  </si>
  <si>
    <t>Local Aviation (mt CO2e)</t>
  </si>
  <si>
    <t>Itinerant Aviation (mt CO2e)</t>
  </si>
  <si>
    <t>Landfilled Waste Emissions: MSW (mt CO2e)</t>
  </si>
  <si>
    <t>Landfilled Waste Emissions: C&amp;D (mt CO2e)</t>
  </si>
  <si>
    <t>Compost Emissions (mt CO2e)</t>
  </si>
  <si>
    <t>Wastewater (mt CO2e)</t>
  </si>
  <si>
    <t>Commercial Refrigerants (mt CO2e)</t>
  </si>
  <si>
    <t>Industrial Processes (mt CO2e)</t>
  </si>
  <si>
    <t>Livestock (mt CO2e)</t>
  </si>
  <si>
    <t>Land (mt CO2e)</t>
  </si>
  <si>
    <t>Carbon Sequestration from forests and trees (mt CO2e)</t>
  </si>
  <si>
    <t>IPCC AR5 Chapter 8: https://www.ipcc.ch/site/assets/uploads/2018/02/WG1AR5_Chapter08_FINAL.pdf</t>
  </si>
  <si>
    <t>2) Total VMT and the split of VMT per vehicle and fuel type were obtained from the Albuquerque's MSA 2023 GHG Inventory.</t>
  </si>
  <si>
    <t>3) Without any additional policy action, some electric vehicle adoption is still expected in Albuquerque. Two baseline electrification scenarios have been included in the BAU model representing low and high EV adoption in the region.  These scenarios can be toggled on and off in the 'Impact Summary' tab of this spreadsheet.</t>
  </si>
  <si>
    <t>1) On-road and transit activity are forecasted based on the following parameters:
• Total on-road VMT is expected to grow at the same rate of population.
• Total transit VMT is expected to remain constant over time.
• Some EV adoption is expected even without any action taken by the community.
• Fuel economy is expected to improve over time.</t>
  </si>
  <si>
    <t>7) It is assumed that all battery electric and plug-in hybrid electric vehicles reported for 2023 in the GHG inventory are passenger vehicles.</t>
  </si>
  <si>
    <t>Data Sources and Assumptions for the Electricity Sources and Fuel-Cycle Emissions Tool - Alternative Fuels Data Center, U.S. Department of Energy. https://afdc.energy.gov/vehicles/electric-emissions-sources</t>
  </si>
  <si>
    <t>8) Baseline internal combustion engine fuel efficiencies for 2023 were obtained from Albuquerque's MSA 2023 GHG inventory.</t>
  </si>
  <si>
    <t>9) Baseline battery and plug-in electric vehicle efficiencies were obtained from the Department of Energy's Alternative Fuels Data Center's data sources and assumptions for the electricity sources and fuel-cycle emissions tool. https://afdc.energy.gov/vehicles/electric-emissions-sources</t>
  </si>
  <si>
    <t>Visual Summary</t>
  </si>
  <si>
    <t>5) Wood consumption is held constant as it is unknown how wood usage will increase over time. Similarly, railways, off-road, industrial processes, livestock, land, and carbon sequestration from forest and trees are also held constant over time due to uncertainty in future consumption in these markets.</t>
  </si>
  <si>
    <t xml:space="preserve">4) The low electrification scenario was developed from NREL's Electrification Futures Study (EFS) using stock vehicle information for New Mexico under the reference electrification scenario.  This scenario shows a small growth in electric vehicle adoption over time (up to 8% of passenger vehicles, 4% of light trucks, and 0% of medium trucks, heavy trucks, and motorcycles by 2050). Data from the EFS can be downloaded here: https://data.nrel.gov/submissions/92. A spreadsheet of the stock data used from EFS is saved on file.  </t>
  </si>
  <si>
    <t>8) Waste activity data and emissions includes landfilled MSW, construction and demolition landfilled waste, and composted waste. Recycled waste activity is included for diversion rate tracking purposes.</t>
  </si>
  <si>
    <t>9) MSW landfilled waste, compost, recycling, wastewater, and aviation activity and emissions are expected to increase at the same rate as Albuquerque's MSA population.</t>
  </si>
  <si>
    <t>10) C&amp;D landfilled waste is projected to grow at the same rate as residential and commercial construction.  Residential construction is estimated from projected household growth and commercial construction is estimated from projected changes in commercial and industrial square footage over time.</t>
  </si>
  <si>
    <t>Demographics</t>
  </si>
  <si>
    <t>Degree Day Projections</t>
  </si>
  <si>
    <t>1) Projections for internal combustion engine car and light truck stock vehicle fuel efficiencies were obtained from the EIA's Annual Energy Outlook for 2023: https://www.eia.gov/outlooks/aeo/data/browser/#/?id=50-AEO2023&amp;cases=ref2023&amp;sourcekey=0. Spreadsheet on file.</t>
  </si>
  <si>
    <t>2) Medium- and heavy-duty and transit vehicle internal combustion engine projected fuel economy data is obtained from NREL's Annual Transportation Baseline (ATB) data (spreadsheet on file).  It is assumed that medium-duty and bus fuel economies will improve at the same rate as class 6 vehicles and heavy-duty vehicles will improve at the same rate as class 8 vehicles in NREL's ATB data. NREL fuel efficiency values are provided in 5-year intervals starting in 2021 through 2050, fuel efficiencies were linearly interpolated between the NREL reported values for intermediate years. The mid-case scenario with EPA65 test cycles was used for forecasting fuel efficiencies.  https://atb.nrel.gov/transportation/2022/data</t>
  </si>
  <si>
    <t>3) Projected EV fuel efficiencies were obtained from NREL's Annual Transportation Baseline data. NREL fuel efficiency values are provided in 5-year intervals starting in 2021 through 2050, fuel efficiencies were linearly interpolated between the NREL reported values for intermediate years. The mid-case scenario with EPA65 test cycles was used for forecasting fuel efficiencies for mid-sized light-duty, class 6 (used for transit), and class 8 (used for medium- and heavy-duty) vehicles.  https://atb.nrel.gov/transportation/2022/data</t>
  </si>
  <si>
    <t>Energy Policy Simulator Scenario - High Adoption</t>
  </si>
  <si>
    <t>Electrification Futures Study Reference Scenario - Low Adoption</t>
  </si>
  <si>
    <t xml:space="preserve">2) The low electrification scenario was developed from NREL's Electrification Futures Study (EFS) using stock vehicle information for New Mexico under the reference electrification scenario.  This scenario shows a small growth in electric vehicle adoption over time (up to 8% of passenger vehicles, 4% of light trucks, and 0% of medium trucks, heavy trucks, and motorcycles by 2050). Data from the EFS can be downloaded here: https://data.nrel.gov/submissions/92. A spreadsheet of the stock data used from EFS is saved on file.  </t>
  </si>
  <si>
    <t>2) NREL's Electrification Futures Study was used to determine forecasts of annual heat pump sales.</t>
  </si>
  <si>
    <t>3) The amount of electricity, natural gas, and propane consumed for space heating and cooling is assumed to change linearly and proportionally with projected heating and cooling degree day changes over time. The proportion of energy used for space heating and cooling was obtained from the Energy Information Administration's Residential Energy Consumption and Commercial Buildings Energy Consumption Survey. Projected changes in heating and cooling degree days were obtained from NREL's SLOPE tool for the state of New Mexico for Representative Concentration Pathway 4.5 representing moderate level of emissions changes over time. Only space heating and cooling energy use is scaled by degree days. Commercial propane was not scaled with heating and cooling degree days because the end uses of commercial propane are unknown and may not be dependent on temperature.</t>
  </si>
  <si>
    <t>4) Electricity emissions account for stated utility emission reduction targets. PNM has a goal of achieving 100% carbon free electricity generation by 2040, with intermediate carbon intensities defined in their 2023 IRP (on file).  It is assumed that emissions will linearly decrease between goal years and that the emissions factor will remain at 0 beyond 2040. Tri-State has the following goals for carbon emissions reductions relative to a 2005 baseline: 26% in 2025, 36% in 2026, 46% in 2027, 80% by 2030, and 100% by 2050.  It is assumed that emissions linearly decrease between Tri-State's goal years. This forecast assumes that all utilities will reach their published goals.</t>
  </si>
  <si>
    <t>6) Forecasted on-road VMT and fuel consumption accounts for expected population growth and some EV adoption in Albuquerque in a BAU scenario (i.e., even without additional action, some EV adoption is expected). See the "On-Road BAU Calculations" tab for information on how EV adoption was accounted for.  High (~81% of cars, 58% of light- and medium-duty freight trucks, 41% of heavy-duty freight trucks, and 31% of motorbikes by 2050) and low (~8% cars, 4% light-trucks, and 0% of medium-duty, heavy-duty, and motorcycles by 2050) EV adoption scenarios were modeled in the BAU scenario and can be selected by the user.</t>
  </si>
  <si>
    <t>7) Forecasted transit VMT and fuel consumption accounts for expected EV adoption in Albuquerque in a BAU scenario (i.e., even without additional action, some EV adoption is expected). See the "On-Road BAU Calculations" tab for information on how EV adoption was accounted for. High (~77% of buses by 2050) and low (0.3% by 2050) EV adoption scenarios were modeled in the BAU scenario and can be selected by the user.</t>
  </si>
  <si>
    <t>Compliance will vary by measure. Buildings may be in compliance with some portions of the energy code and out of compliance with others. Assumes that the enforcement portion of the modeled actions will achieve 90% compliance for residential and commercial buildings.</t>
  </si>
  <si>
    <t>https://www.energy.gov/gc/articles/microsoft-word-energy-code-enforcement-funding-task-force-fact-sheet-finaldocx</t>
  </si>
  <si>
    <t>Current annual retrofit rate sits at 1%. Assumes this square footage will meet latest energy code.</t>
  </si>
  <si>
    <t>https://www.ubs.com/global/en/sustainability-impact/sustainability-insights/reports/retrofit-revolution/_jcr_content/pagehead.2146460108.file/PS9jb250ZW50L2RhbS9hc3NldHMvY2Mvc3VzdGFpbmFiaWxpdHktYW5kLWltcGFjdC9pbnN0aXR1dGUvZG9jL3JldHJvZml0LXJldm9sdXRpb24tcmVwb3J0LnBkZg==/retrofit-revolution-report.pdf</t>
  </si>
  <si>
    <t>5) Baseline electrification accounts for expected increases in sales of electric building equipment (heat pumps and heat pump water heaters) even without any policy intervention from the MSA.</t>
  </si>
  <si>
    <t>2) To accurately estimate energy impacts from building codes on new construction, commercial square footage was split to exclude multifamily buildings &lt; 4 stories. These buildings fall under the residential energy code. This was split based on the share of commercial and multifamily buildings that were multifamily under 4 stories based on an analysis of NREL ResStock and ComStock.</t>
  </si>
  <si>
    <t>Annual additional electricity use without code compliance (kWh)</t>
  </si>
  <si>
    <t>General Variables</t>
  </si>
  <si>
    <t>Average Percent Electricity by Utility</t>
  </si>
  <si>
    <t>PNM (kWh)</t>
  </si>
  <si>
    <t>Tri-State (kWh)</t>
  </si>
  <si>
    <t>Average T&amp;D Loss</t>
  </si>
  <si>
    <t>City of Albuquerque</t>
  </si>
  <si>
    <t>Bernalillo</t>
  </si>
  <si>
    <t>Sandoval</t>
  </si>
  <si>
    <t>Torrance</t>
  </si>
  <si>
    <t>Valencia</t>
  </si>
  <si>
    <t>Total ABQ MSA</t>
  </si>
  <si>
    <t>Source &amp; Notes</t>
  </si>
  <si>
    <t>Refrigerant Leakage</t>
  </si>
  <si>
    <t>Air Conditioning Refrigerant Leakage</t>
  </si>
  <si>
    <t>For moderate climates, 500-550 square feet of cooling capacity is associated with 1 ton of cooling capacity.</t>
  </si>
  <si>
    <t>https://www.pickhvac.com/central-air-conditioner/size/ton-to-square-feet/#:~:text=Each%20ton%20of%20AC%20is,cool%20about%20450%20square%20feet.</t>
  </si>
  <si>
    <t>https://refrigeranthq.com/f-a-q/how-much-freonrefrigerant-does-an-ac-unit-hold/</t>
  </si>
  <si>
    <t>Average annual refrigerant loss/leakage from central air conditioning units</t>
  </si>
  <si>
    <t>Weighted average refrigerant loss/leakage from air conditioning units in New Mexico</t>
  </si>
  <si>
    <t>https://archive.ipcc.ch/pdf/special-reports/sroc/sroc05.pdf</t>
  </si>
  <si>
    <t>Weighted average of refrigerant loss/leakage from the composition of air conditioning units in New Mexico.</t>
  </si>
  <si>
    <t>New Square Footage</t>
  </si>
  <si>
    <t>American Innovation and Manufacturing (AIM) Act and HFC Refrigerant Phasedown</t>
  </si>
  <si>
    <t>1) The AIM Act has set sector-based restrictions to usage of HFC refrigerants.  A GWP limit of 700 has been set for all newly installed stationary residential and light commercial air conditioning and heat pumps starting in January 1, 2025. This model represents the AIM Act as of December 20, 2023 and does not include any changes or updates that may be made to the policy at a future date.. https://www.epa.gov/system/files/documents/2023-10/technology-transitions-final-rule-fact-sheet-2023.pdf</t>
  </si>
  <si>
    <t>2) R-32 was assumed to be used in all newly installed AC or heat pump units starting in 2025.  Existing units are assumed to have a mixture of R-22 and R-410a.</t>
  </si>
  <si>
    <t>3) The EPA imposed a ban on production, import, and use of R-22 starting on January 1, 2010.  However, R-22 may still be used in existing equipment that was installed prior to 2010.  Therefore, it is assumed that some older systems use continue to use R-22 through 2024.  https://www.epa.gov/sites/default/files/2015-07/documents/phasing_out_hcfc_refrigerants_to_protect_the_ozone_layer.pdf</t>
  </si>
  <si>
    <t>Refrigerant</t>
  </si>
  <si>
    <t>R-22</t>
  </si>
  <si>
    <t>R-410a</t>
  </si>
  <si>
    <t>R-32</t>
  </si>
  <si>
    <t>Existing Square Footage Replacing AC Equipment</t>
  </si>
  <si>
    <t>Refrigerant Leakage (kg)</t>
  </si>
  <si>
    <t>Refrigerant Leakage (lbs)</t>
  </si>
  <si>
    <t>Refrigerant Leakage Emissions (mt CO2e)</t>
  </si>
  <si>
    <t>CHCIF2</t>
  </si>
  <si>
    <t>https://www.epa.gov/sites/default/files/2015-09/documents/epa_hfc_residential_light_commercial_ac.pdf</t>
  </si>
  <si>
    <t>R-410A</t>
  </si>
  <si>
    <t>R-32/R-125 (50/50)</t>
  </si>
  <si>
    <t>CH2F2</t>
  </si>
  <si>
    <t>https://www.r32reasons.com/docs/default-source/default-document-library/the-facts-about-r-32-and-r-454b.pdf?sfvrsn=f711fd62_0</t>
  </si>
  <si>
    <t>R-744</t>
  </si>
  <si>
    <t>https://www.epa.gov/sites/default/files/2016-12/documents/international_transitioning_to_low-gwp_alternatives_in_res_and_com_ac_chillers.pdf</t>
  </si>
  <si>
    <t>New Construction</t>
  </si>
  <si>
    <t>Existing Construction</t>
  </si>
  <si>
    <t>Residential EUI (kBtu/sf)</t>
  </si>
  <si>
    <t>Percentage of homes without air conditioning</t>
  </si>
  <si>
    <t>Percentage of housing units that use split (ducted or non-ducted) units</t>
  </si>
  <si>
    <t>Percentage of housing units that use window-mounted, through-the-wall, and portable units</t>
  </si>
  <si>
    <t xml:space="preserve"> Analysis of EIA microdata is on file.  Raw microdata can be found here: https://www.eia.gov/consumption/residential/data/2020/index.php?view=microdata</t>
  </si>
  <si>
    <t>From the EIA's Residential Energy Consumption Survey in 2020 filtered for households in New Mexico.</t>
  </si>
  <si>
    <t>Refers to homes that use central units for main or secondary air-conditioning equipment, including homes that use central heat pumps. Also includes ductless heat pumps (mini-split) units.</t>
  </si>
  <si>
    <t>Average annual refrigerant loss/leakage from portable, window-mounted, and through-the-wall air conditioning units</t>
  </si>
  <si>
    <t>Average annual leakages according to IPCC report:
Window, wall, and portable units: 2-2.5%
Mini-splits: 4-5%
Central units: 4-5%</t>
  </si>
  <si>
    <t>Per conversation with Bobby Orwig, it is estimated that as much as 90% of all commercial square footage in the MSA is air conditioned. Lotus used a more conservative estimate of 80% to account for older buildings and larger non-air-conditioned spaces like warehouses. Email PDF on file.</t>
  </si>
  <si>
    <t>Average cooling capacity square feet per air conditioning unit capacity (square feet/ton)</t>
  </si>
  <si>
    <t>300 sq. ft. per ton of cooling capacity based on the commercial average from the ASHRAE Pocket Guide for Air Conditioning, Heating, Ventilation, and Refrigeration</t>
  </si>
  <si>
    <t>1 kg refrigerant per ton based on a conservative estimate from the Treatment of LEED of the Environmental Impact of HVAC Refrigerants</t>
  </si>
  <si>
    <t>Refrigerant charge per tons of cooling capacity (kg/ton of cooling)</t>
  </si>
  <si>
    <t>5% refrigerant loss per year from the Climate Leaders Greenhouse Gas Inventory Protocol Core Module Guidance from the EPA</t>
  </si>
  <si>
    <t>Refrigerant loss per year</t>
  </si>
  <si>
    <t>Existing Square Footage</t>
  </si>
  <si>
    <t>New Square Footage - Replacing equipment</t>
  </si>
  <si>
    <t>1) This tab includes calculations to estimate changes in building energy consumption and refrigerant usage in a business-as-usual scenario. Continued use of the 2021 IECC and baseline building electrification are accounted for in the building sector for the BAU.</t>
  </si>
  <si>
    <t>7) The AIM Act has set sector-based restrictions to usage of HFC refrigerants.  Baseline refrigerant replacement to lower GWP's as compliant with the AIM Act has been included in baseline refrigerant leakage emission calculations.  The AIM act requires GWP limit of 700 for all newly installed stationary residential and light commercial air conditioning and heat pumps starting in January 1, 2025.  It is assumed that all residential and commercial air conditioning equipment will follow the GWP limits set in this act. https://www.epa.gov/system/files/documents/2023-10/technology-transitions-final-rule-fact-sheet-2023.pdf</t>
  </si>
  <si>
    <t>11) Refrigerant usage is projected to grow at the same rate as residential household growth and commercial and industrial square footage.  Refrigerant emissions are expected to decrease over time following sector-based restrictions to usage of HFC refrigerants from the American Innovation and Manufacturing (AIM) Act.  https://www.epa.gov/system/files/documents/2023-10/technology-transitions-final-rule-fact-sheet-2023.pdf.  Refrigerant emissions and assumptions are outlined in more detail in the 'Baseline Building Energy' tab.</t>
  </si>
  <si>
    <t>Scenario Selector</t>
  </si>
  <si>
    <t>Baseline Transportation Electrification:</t>
  </si>
  <si>
    <t>2) Job projections for Bernalillo, Sandoval, Torrance, and Valencia counties were obtained from the Mid-Region Metropolitan Planning Organization's projections for employment in 2016 and 2040: https://mrmpo.maps.arcgis.com/apps/MapSeries/index.html?appid=f2b9484cbf1048f6b10098bfbc00bd87.  Spreadsheet on file. Employment is linearly interpolated between 2016 and 2040.  It is assumed that the year over year change in employment in from 2039-2040 remains constant from 2040-2050.  Bernalillo, Sandoval, Torrance, and Valencia county job projections were summed to estimate employment for the MSA region.</t>
  </si>
  <si>
    <t>1) Commercial square footage was taken from the NREL SLOPE tool. This tool compiles data from COSTAR which is a commercial real estate dataset which includes multifamily buildings. Commercial square footage is forecasted based on employment forecasts. This assumes that as total jobs in the region increase, so will the use and construction of commercial space.</t>
  </si>
  <si>
    <t>3) Multifamily square footage is also fully removed from the forecast as all other building measures do not impact multifamily buildings.</t>
  </si>
  <si>
    <t>1) Residential building energy use is forecasted based on the change in households over time. Households in 2016 and forecasted households in 2040 were taken from the Mid-Region Council of Governments Socioeconomic Forecasts. Assumes a linear increase in households between 2016 and 2040 and applies the average annual growth rate to households from 2041 - 2050.</t>
  </si>
  <si>
    <t>2) To accurately assess building energy code impacts on new construction, multifamily households in buildings over 3 stories were removed. The share of residential housing units that are in multifamily buildings over 3 stories was taken from an analysis of NREL ResStock and applied to the total household forecast.</t>
  </si>
  <si>
    <t>1) Projected changes in cooling and heating degree days were obtained from NREL's SLOPE tool using the Representative Concentration Pathway 4.5, which represents a moderate emissions increase over time.  SLOPE provides projected degree days at a statewide and county level every 5 years from 2020-2050.  Statewide degree days were used as a proxy for Albuquerque's MSA degree day forecast for this analysis. Degree days for the MSA's four county region were also included as reference.  Degree days are linearly interpolated between each 5 year interval to estimate yearly degree day changes.  Degree days are proportionally related to energy consumption and can be used to estimate future energy use for heating and cooling.  Spreadsheet on file. https://maps.nrel.gov/slope/data-viewer?filters=%5B%22hdd_highci%22%2C%22hdd_lowci%22%5D&amp;layer=sfa.degree-days&amp;geoId=G0800690&amp;year=2020&amp;res=county</t>
  </si>
  <si>
    <t>Average Light Truck Stock Miles per Gas Gallon Equivalent</t>
  </si>
  <si>
    <t>Class 6 Medium Box Truck - Diesel miles per gallon diesel equivalent) - EPA65</t>
  </si>
  <si>
    <t>Class 8 Long-haul Sleeper - Diesel miles per gallon diesel equivalent) - EPA65</t>
  </si>
  <si>
    <t>Class 8 Long-haul Sleeper - Battery Electric Vehicle, kWh/mile) - EPA65</t>
  </si>
  <si>
    <t>Light- and Medium-Duty Freight Trucks</t>
  </si>
  <si>
    <t>Heavy-Duty Freight Trucks</t>
  </si>
  <si>
    <t xml:space="preserve">1) NREL's Electrification Futures Study was used to determine forecasts of equipment efficiencies for space and water heating. These forecasts are provided in 10 year increments. A linear change in efficiency is assumed between each 10 year increment. </t>
  </si>
  <si>
    <t>4) Estimated energy use per square foot of new construction is based on climate zone specific energy use intensities and end use shares taken from the following sources: NREL ResStock and ComStock, Pacific Northwest National Laboratory Prototype building models, and Energy Information Association Residential Energy Consumption Survey and Commercial Building Energy Consumption Survey.</t>
  </si>
  <si>
    <t>Annual additional natural gas use (th)</t>
  </si>
  <si>
    <t>Annual additional natural gas use without code compliance (th)</t>
  </si>
  <si>
    <t>Refers to homes that use individual, window-mounted, through-the-wall, or portable units for main or secondary air conditioning equipment, including evaporative or swamp cooling systems.</t>
  </si>
  <si>
    <t>Projected Changes in Residential Square Footage</t>
  </si>
  <si>
    <t>Residential Square Footage</t>
  </si>
  <si>
    <t>Typically a residential air conditioning unit holds 1.36 kg pounds of refrigerant per 1 ton of cooling.</t>
  </si>
  <si>
    <t>Existing Equipment Refrigerant Usage - Residential</t>
  </si>
  <si>
    <t>New Equipment Refrigerant Usage - Residential</t>
  </si>
  <si>
    <t>R-134A</t>
  </si>
  <si>
    <t>Existing Equipment Refrigerant Usage - Commercial</t>
  </si>
  <si>
    <t>New Equipment Refrigerant Usage - Commercial</t>
  </si>
  <si>
    <t>1,1,1,2-tetrafluoroethane</t>
  </si>
  <si>
    <t>Residential Square Footage Excluding Multifamily &gt; 3 stories</t>
  </si>
  <si>
    <t>1) Projected residential square footage is based on Google EIE data and forecasted based on the percent change in households</t>
  </si>
  <si>
    <t>BAU Results</t>
  </si>
  <si>
    <t>Baseline Transportation</t>
  </si>
  <si>
    <t>Baseline Building Energy</t>
  </si>
  <si>
    <t>BAU Supporting Calculations</t>
  </si>
  <si>
    <t>Visualizes and calculates the results of the Business-As-Usual forecast.</t>
  </si>
  <si>
    <t xml:space="preserve">Use the "Business As Usual" tab to view the modeled greenhouse gas emissions trajectory. This tab includes all summary calculations for forecasting each source of emissions. Use the "Baseline Transportation" and "Baseline Building Energy" tabs to see how transportation and building energy  use activities are forecasted. Data sources used to calculate emissions reductions are listed at the bottom of the "Baseline Transportation" and "Baseline Building Energy" tab. </t>
  </si>
  <si>
    <t>Includes transportation sector BAU calculations.</t>
  </si>
  <si>
    <t>Includes building energy sector BAU calculations.</t>
  </si>
  <si>
    <t>This workbook models greenhouse gas (GHG) emissions through 2050 in a Business-As-Usual scenario. This scenario includes policy and non-policy drivers that will have major impacts on emissions in the MSA through 2050. This includes population growth and new development, greening of the grid, and baseline vehicle electrification. Projections are estimates and are based on available data from Albuquerque's MSA region GHG Inventories and external data to support emission calculations. The purpose of this model is to identify the likely emission trajectory if no further action is taken by the MSA to reduce emissions.</t>
  </si>
  <si>
    <t>Cumulative change in emissions from 2023 baseline</t>
  </si>
  <si>
    <t>1) This tab outlines the expected baseline profile of future greenhouse gas (GHG) emissions in the Albuquerque MSA region prior to implementing emission reduction strategies.  The baseline profile of emissions, or business-as-usual (BAU), begins in 2023 using the activity and emissions data from the Albuquerque MSA 2023 Community GHG Inventory.  The activity and emissions data from 2023 are projected to 2050 by incorporating anticipated changes from known sources such as current population trends, on-the-books policies, or behaviors that can be expected to occur in the future.</t>
  </si>
  <si>
    <t>6) Baseline electrification is estimated using a stock replacement approach. The model assumes an average equipment lifespan of 14 years and that 1/14 buildings are replacing space heating or water heating equipment each year. 1/14 is multiplied by the total square footage (Split by commercial and residential) each year to estimate total square footage served by equipment that is being replaced. A value representing the probability of the old equipment being replaced with high efficiency electric alternatives is then applied to this square footage to estimate the electrified square footage. The model accounts for different baseline equipment fuel types based on information from EIA RECS and CBECS. This allows the model to estimate impacts of electrification from a natural gas, propane, or low-efficiency electric resistance equipment baseline. Baseline energy usage for the impacted square footage is estimated using values from ResStock and Comstock. Post-electrification energy use is estimated by applying efficiency improvement calculations. Baseline energy use is converted to MMBtu, adjusted for improved efficiency, and converted to kWh. Space heating electrification calculations account for changes in heating degree days. Only space and water heating are considered in this model as electrification of other end uses (cooking, clothes drying, etc.) have marginal impacts on the BAU.</t>
  </si>
  <si>
    <t>Totals</t>
  </si>
  <si>
    <t>Average Emission Factor</t>
  </si>
  <si>
    <t>Percentage of commercial square footage with air conditioning</t>
  </si>
  <si>
    <t>6) It is assumed that battery electric vehicles displace gasoline, hybrid, diesel, and ethanol motorcycles and light-, medium-, and heavy-duty vehicles over time.  It is assumed that fossil fuel vehicle displacement occurs proportionately to the share of each vehicle's VMT.</t>
  </si>
  <si>
    <t>10) Electric motorcycle fuel economy was estimated from Zero Motorcycles' Zero FX model which has a maximum battery size of 7.2 kWh and a range of 102 miles of city riding. https://zeromotorcycles.com/model/zero-fx</t>
  </si>
  <si>
    <t>11) Fuel efficiencies for internal combustion engine vehicles are expected to improve over time. Projected light-duty internal combustion engine fuel efficiencies were obtained from the EIA's Annual Energy Outlook for 2023: https://www.eia.gov/outlooks/aeo/data/browser/#/?id=50-AEO2023&amp;cases=ref2023&amp;sourcekey=0 (spreadsheet on file). Medium- and heavy-duty and transit vehicle internal combustion engine projected fuel economy data is obtained from NREL's Annual Transportation Baseline (ATB) data (spreadsheet on file).  It is assumed that medium-duty and bus fuel economies will improve at the same rate as class 6 vehicles and heavy-duty vehicles will improve at the same rate as class 8 vehicles in NREL's ATB data. The mid-case scenario with EPA65 test cycles was used for forecasting fuel efficiencies.  https://atb.nrel.gov/transportation/2022/data</t>
  </si>
  <si>
    <t>12) EV fuel efficiencies are expected to improve over time. Projected EV fuel efficiencies were obtained from NREL's Annual Transportation Baseline data. NREL fuel efficiency values are provided in 5-year intervals starting in 2021 through 2050, fuel efficiencies were linearly interpolated between the NREL reported values for intermediate years. The mid-case scenario with EPA65 test cycles was used for forecasting fuel efficiencies for mid-sized light-duty, class 6 (used for transit), and class 8 (used for medium- and heavy-duty) vehicles.  https://atb.nrel.gov/transportation/2022/data</t>
  </si>
  <si>
    <t>13) CO2 emissions from ethanol are considered biogenic emissions and are not included in emission totals.</t>
  </si>
  <si>
    <t>14) Motorcycle fuel economy is held constant because there are no federal laws mandating fuel economy standards or improvements at this time.</t>
  </si>
  <si>
    <t>15) The EPA GHG Emission Factor Hub does not include ethanol factors for motorcycles.  Light-duty emission factors were used as a proxy.</t>
  </si>
  <si>
    <t>5) The high electrification scenario was developed from Rocky Mountain Institute's Energy Policy Simulator (EPS) for New Mexico (https://energypolicy.solutions/simulator/newmexico/en) and models 80% EV adoption of cars and buses, ~58% of light and medium freight trucks, 41% of heavy freight trucks, and 31% of motorbikes by 2050.  The change in stock of electric and non-electric vehicles was pulled from the fleet composition data in the Business as Usual scenario of the EPS tool.  The EPS's Business as Usual scenario includes on the books policies in New Mexico or expect to be on the books by the end of 2023 to assess the impact of New Mexico's climate policy portfolio.  These policies include federal EV tax credits from the IRA, Advanced Clean Trucks and Low NOx rules for medium and heavy-duty vehicles, and Advanced Clean Cars I &amp; II. The data pulled from EPS has been saved on file.</t>
  </si>
  <si>
    <t>1) The high electrification scenario was developed from Rocky Mountain Institute's Energy Policy Simulator (EPS) for New Mexico (https://energypolicy.solutions/simulator/newmexico/en) and models 80% EV adoption of cars and buses, ~58% of light and medium freight trucks, 41% of heavy freight trucks, and 31% of motorbikes by 2050.  The change in stock of electric and non-electric vehicles was pulled from the fleet composition data in the Business as Usual scenario of the EPS tool.  The EPS's Business as Usual scenario includes on the books policies in New Mexico or expect to be on the books by the end of 2023 to assess the impact of New Mexico's climate policy portfolio.  These policies include federal EV tax credits from the IRA, Advanced Clean Trucks and Low NOx rules for medium and heavy-duty vehicles, and Advanced Clean Cars I &amp; II. The data pulled from EPS has been saved on file.</t>
  </si>
  <si>
    <t>4) The model assumes an average equipment lifespan of 14 years and that 1/14 buildings are replacing air cooling equipment each year.  This assumption was obtained from the Energy Policy Simulator developed by RMI, which assumes an average lifespan of space heating, space cooling, and water heating equipment to be 14 years. https://energypolicy.solutions/simulator/newmexico/en</t>
  </si>
  <si>
    <t>https://energypolicy.solutions/simulator/newmexico/en</t>
  </si>
  <si>
    <t>N/A - Calculated from Rows 184-190 above.</t>
  </si>
  <si>
    <t>NREL ComStock Annual Results for Denver County, assumed Albquerque region follows similar energy consumption patterns.</t>
  </si>
  <si>
    <r>
      <t>N</t>
    </r>
    <r>
      <rPr>
        <vertAlign val="subscript"/>
        <sz val="11"/>
        <color theme="1"/>
        <rFont val="Poppins"/>
      </rPr>
      <t>2</t>
    </r>
    <r>
      <rPr>
        <sz val="11"/>
        <color rgb="FF000000"/>
        <rFont val="Poppins"/>
      </rPr>
      <t>O</t>
    </r>
  </si>
  <si>
    <t>Lead Coordinator and Lead Consultant</t>
  </si>
  <si>
    <t xml:space="preserve"> Lead Coordinator</t>
  </si>
  <si>
    <t>Lead Consultant</t>
  </si>
  <si>
    <t>Entity</t>
  </si>
  <si>
    <t xml:space="preserve"> Company</t>
  </si>
  <si>
    <t xml:space="preserve">Lotus Engineering and Sustainability </t>
  </si>
  <si>
    <t xml:space="preserve"> Name</t>
  </si>
  <si>
    <t>Alice Main</t>
  </si>
  <si>
    <t xml:space="preserve"> Title</t>
  </si>
  <si>
    <t>Climate Pollution Reduction Grant Manager</t>
  </si>
  <si>
    <t xml:space="preserve">Telephone </t>
  </si>
  <si>
    <t>505-868-0841</t>
  </si>
  <si>
    <t xml:space="preserve"> Telephone</t>
  </si>
  <si>
    <t xml:space="preserve"> Email</t>
  </si>
  <si>
    <t>ahmain@cabq.gov</t>
  </si>
  <si>
    <t>Nick Russell</t>
  </si>
  <si>
    <t>Senior Associate II</t>
  </si>
  <si>
    <t>530-302-7820</t>
  </si>
  <si>
    <t>nick@lotussustainability.com</t>
  </si>
  <si>
    <t>kWh or kBtu</t>
  </si>
  <si>
    <t>MWh or MMBtu</t>
  </si>
  <si>
    <t>4) Tri-State's emission factor in 2021 is estimated at 1,570 lb/MWh.  These emission factors are assumed to be reported in pounds of carbon dioxide and were obtained from their issue brief released in April 2021 titled "Tri-State's Carbon Rate" (on file).</t>
  </si>
  <si>
    <t>5) Tri-State's emission factor in 2023 is estimated at 1,431 lb/MWh and 1,520 lb/MWh in 2022.  These emission factors are assumed to be reported in pounds of carbon dioxide and were obtained from their issue brief released in May 2024 titled "Tri-State's 2023 System Carbon Rate" (on file).</t>
  </si>
  <si>
    <t>6) It is assumed that Tri-State will meet New Mexico's mandated emission reduction goal of 100% zero-carbon resources by 2050 from the Energy Transition Act: https://www.nmlegis.gov/handouts/NMFA%20091820%20Item%201%20NM%20Energy%20Transition%20Act.pdf.  Carbon emissions are assumed to linearly decrease from Tri-State's goal in 2030 to zero-carbon in 2050.</t>
  </si>
  <si>
    <t>7) Tri-State's reported emission factors and goals are reported in units of carbon dioxide and do not include methane emissions.  Tri-State's emission factor has been modified to include methane emissions by multiplying by a factor of 1.002.  This factor was calculated from the share of carbon dioxide emissions in relation to total greenhouse gas emissions (carbon dioxide and methane) emissions.  Table 13 of Tri-State's ERP (on-file) estimates under business-as-usual conditions in 2024, 14,364,784 metric tons of carbon dioxide emissions  and 32,092 metric tons of methane emissions (in units of carbon dioxide equivalent).</t>
  </si>
  <si>
    <t xml:space="preserve">8) PNM's current and projected carbon intensity was obtained from their 2023 IRP (on file). PNM's reported carbon intensities over time are reported in units of carbon dioxide and do not include methane emissions.  It is assumed that PNM has a similar rate of methane emissions as Tri-State.  PNM's emission factor has been modified to include methane emissions by multiplying by a factor of 1.002.  </t>
  </si>
  <si>
    <t>Science-Based Targets</t>
  </si>
  <si>
    <t>These values are used to estimate energy from non-compliant new construction. This assumes that non-compliant new construction is built to the same level of efficiency as the 2015 IECC.</t>
  </si>
  <si>
    <t>https://www.energycodes.gov/sites/default/files/2021-07/EERE-2018-BT-DET-0014-0008.pdf
https://www.energycodes.gov/sites/default/files/2020-07/2018_IECC_Commercial_Analysis_Final.pdf</t>
  </si>
  <si>
    <t>2) Forecasted building energy use accounts for expected household and economic growth, continued use of the 2018 IECC, and some baseline electrification in Albuquerque (i.e., even without additional action, some electrification is expected).  See the 'Baseline Building Energy' tab for information on how baseline energy use was calculated for residential and commercial buildings.</t>
  </si>
  <si>
    <t>Emissions by Scope</t>
  </si>
  <si>
    <t>Scope 1</t>
  </si>
  <si>
    <t>Scope 2</t>
  </si>
  <si>
    <t>Scope 3</t>
  </si>
  <si>
    <t>2) Building code adoption assumes that in the BAU scenario, new residential and commercial buildings (including retrofits that trigger code compliance), will comply with the 2021 IECC. As there are no on the books policies mandating continued code adoption of future versions of the IECC, continued use of the 2021 IECC is assumed.</t>
  </si>
  <si>
    <t>3) The building code model assumes that 90% of new or retrofitted square footage will be compliant with the 2021 IECC. This is based on compliance studies from the Department of Energy that found that while most buildings achieve some level of code compliance roughly 10% of energy code measures are not implemented. Non-compliant square footage is assumed to achieve energy performance equivalent to the 2018 IECC.</t>
  </si>
  <si>
    <t>Annual new energy use with 2021 IECC adoption (kBtu)</t>
  </si>
  <si>
    <t>Residential energy savings from 2018 IECC to 2021 IECC</t>
  </si>
  <si>
    <t>Commercial energy savings from 2018 IECC to 2021 IECC</t>
  </si>
  <si>
    <t>Low</t>
  </si>
  <si>
    <t>City of ABQ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</si>
</sst>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_(* \(#,##0.00\);_(* &quot;-&quot;??_);_(@_)"/>
    <numFmt numFmtId="164" formatCode="0.00000"/>
    <numFmt numFmtId="165" formatCode="0.000"/>
    <numFmt numFmtId="166" formatCode="0.00000000"/>
    <numFmt numFmtId="167" formatCode="0.0000"/>
    <numFmt numFmtId="168" formatCode="0.0%"/>
    <numFmt numFmtId="169" formatCode="0.0"/>
    <numFmt numFmtId="170" formatCode="0.000000%"/>
    <numFmt numFmtId="171" formatCode="0.000000"/>
    <numFmt numFmtId="172" formatCode="0.000000000000000000%"/>
    <numFmt numFmtId="173" formatCode="#,##0.0"/>
    <numFmt numFmtId="174" formatCode="0.0000000"/>
    <numFmt numFmtId="175" formatCode="#,##0.000"/>
    <numFmt numFmtId="176" formatCode="#,##0.00000"/>
    <numFmt numFmtId="177" formatCode="#,##0.000000"/>
    <numFmt numFmtId="178" formatCode="0.000%"/>
    <numFmt numFmtId="179" formatCode="0.0000%"/>
    <numFmt numFmtId="180" formatCode="0.00000%"/>
  </numFmts>
  <fonts count="36" x14ac:knownFonts="1">
    <font>
      <sz val="11"/>
      <color theme="1"/>
      <name val="Calibri"/>
      <family val="2"/>
      <scheme val="minor"/>
    </font>
    <font>
      <sz val="11"/>
      <color theme="1"/>
      <name val="Calibri"/>
      <family val="2"/>
      <scheme val="minor"/>
    </font>
    <font>
      <sz val="20"/>
      <color theme="0"/>
      <name val="Poppins"/>
    </font>
    <font>
      <sz val="16"/>
      <color theme="0"/>
      <name val="Poppins"/>
    </font>
    <font>
      <b/>
      <sz val="12"/>
      <color theme="0"/>
      <name val="Poppins"/>
    </font>
    <font>
      <sz val="10"/>
      <color theme="1"/>
      <name val="Poppins"/>
    </font>
    <font>
      <sz val="11"/>
      <color theme="1"/>
      <name val="Poppins"/>
    </font>
    <font>
      <vertAlign val="subscript"/>
      <sz val="11"/>
      <color theme="1"/>
      <name val="Poppins"/>
    </font>
    <font>
      <sz val="11"/>
      <name val="Poppins"/>
    </font>
    <font>
      <sz val="12"/>
      <color rgb="FF000000"/>
      <name val="Poppins"/>
    </font>
    <font>
      <u/>
      <sz val="11"/>
      <color theme="10"/>
      <name val="Calibri"/>
      <family val="2"/>
      <scheme val="minor"/>
    </font>
    <font>
      <sz val="12"/>
      <color rgb="FF000000"/>
      <name val="Calibri"/>
      <family val="2"/>
    </font>
    <font>
      <sz val="11"/>
      <color rgb="FF000000"/>
      <name val="Poppins"/>
    </font>
    <font>
      <b/>
      <sz val="11"/>
      <color theme="1"/>
      <name val="Poppins"/>
    </font>
    <font>
      <sz val="12"/>
      <color theme="1"/>
      <name val="Poppins"/>
    </font>
    <font>
      <b/>
      <sz val="11"/>
      <name val="Poppins"/>
    </font>
    <font>
      <i/>
      <sz val="11"/>
      <name val="Poppins"/>
    </font>
    <font>
      <b/>
      <sz val="11"/>
      <color theme="0"/>
      <name val="Poppins"/>
    </font>
    <font>
      <sz val="12"/>
      <color theme="1"/>
      <name val="Calibri"/>
      <family val="2"/>
      <scheme val="minor"/>
    </font>
    <font>
      <u/>
      <sz val="11"/>
      <color theme="10"/>
      <name val="Poppins"/>
    </font>
    <font>
      <sz val="11"/>
      <color theme="0"/>
      <name val="Poppins"/>
    </font>
    <font>
      <sz val="12"/>
      <color theme="0"/>
      <name val="Poppins"/>
    </font>
    <font>
      <sz val="11"/>
      <color rgb="FFFF0000"/>
      <name val="Poppins"/>
    </font>
    <font>
      <b/>
      <sz val="14"/>
      <color theme="0"/>
      <name val="Poppins"/>
    </font>
    <font>
      <sz val="12"/>
      <name val="Poppins"/>
    </font>
    <font>
      <sz val="10"/>
      <color theme="0"/>
      <name val="Poppins"/>
    </font>
    <font>
      <sz val="14"/>
      <color theme="0"/>
      <name val="Poppins"/>
    </font>
    <font>
      <sz val="12"/>
      <color rgb="FF000000"/>
      <name val="Calibri"/>
      <family val="2"/>
      <scheme val="minor"/>
    </font>
    <font>
      <b/>
      <sz val="12"/>
      <name val="Poppins"/>
    </font>
    <font>
      <sz val="9"/>
      <color theme="1"/>
      <name val="Poppins"/>
    </font>
    <font>
      <u/>
      <sz val="11"/>
      <color indexed="12"/>
      <name val="Poppins"/>
    </font>
    <font>
      <sz val="14"/>
      <color theme="1"/>
      <name val="Poppins"/>
    </font>
    <font>
      <b/>
      <sz val="12"/>
      <color rgb="FF000000"/>
      <name val="Poppins"/>
    </font>
    <font>
      <b/>
      <sz val="11"/>
      <color rgb="FF000000"/>
      <name val="Poppins"/>
    </font>
    <font>
      <b/>
      <sz val="16"/>
      <color theme="0"/>
      <name val="Poppins"/>
    </font>
    <font>
      <sz val="10"/>
      <color rgb="FF000000"/>
      <name val="Poppins"/>
    </font>
  </fonts>
  <fills count="37">
    <fill>
      <patternFill patternType="none"/>
    </fill>
    <fill>
      <patternFill patternType="gray125"/>
    </fill>
    <fill>
      <patternFill patternType="solid">
        <fgColor rgb="FF496884"/>
        <bgColor indexed="64"/>
      </patternFill>
    </fill>
    <fill>
      <patternFill patternType="solid">
        <fgColor rgb="FFF4A81D"/>
        <bgColor rgb="FFD78D2A"/>
      </patternFill>
    </fill>
    <fill>
      <patternFill patternType="solid">
        <fgColor rgb="FF496884"/>
        <bgColor rgb="FF496884"/>
      </patternFill>
    </fill>
    <fill>
      <patternFill patternType="solid">
        <fgColor theme="0"/>
        <bgColor indexed="64"/>
      </patternFill>
    </fill>
    <fill>
      <patternFill patternType="solid">
        <fgColor rgb="FF214052"/>
        <bgColor indexed="64"/>
      </patternFill>
    </fill>
    <fill>
      <patternFill patternType="solid">
        <fgColor rgb="FFD6E3BC"/>
        <bgColor rgb="FFD6E3BC"/>
      </patternFill>
    </fill>
    <fill>
      <patternFill patternType="solid">
        <fgColor rgb="FFD6E3BC"/>
        <bgColor indexed="64"/>
      </patternFill>
    </fill>
    <fill>
      <patternFill patternType="solid">
        <fgColor rgb="FFFFFFFF"/>
        <bgColor rgb="FFFFFFFF"/>
      </patternFill>
    </fill>
    <fill>
      <patternFill patternType="solid">
        <fgColor theme="0"/>
        <bgColor rgb="FF7F7F7F"/>
      </patternFill>
    </fill>
    <fill>
      <patternFill patternType="solid">
        <fgColor theme="0"/>
        <bgColor rgb="FF2E75B5"/>
      </patternFill>
    </fill>
    <fill>
      <patternFill patternType="solid">
        <fgColor theme="0" tint="-0.499984740745262"/>
        <bgColor indexed="64"/>
      </patternFill>
    </fill>
    <fill>
      <patternFill patternType="solid">
        <fgColor theme="1"/>
        <bgColor indexed="64"/>
      </patternFill>
    </fill>
    <fill>
      <patternFill patternType="solid">
        <fgColor rgb="FFB8CCE4"/>
        <bgColor indexed="64"/>
      </patternFill>
    </fill>
    <fill>
      <patternFill patternType="solid">
        <fgColor rgb="FFB4C6E7"/>
        <bgColor indexed="64"/>
      </patternFill>
    </fill>
    <fill>
      <patternFill patternType="solid">
        <fgColor rgb="FF38AF9A"/>
        <bgColor indexed="64"/>
      </patternFill>
    </fill>
    <fill>
      <patternFill patternType="solid">
        <fgColor rgb="FFB8CCE4"/>
        <bgColor rgb="FFFFFFFF"/>
      </patternFill>
    </fill>
    <fill>
      <patternFill patternType="solid">
        <fgColor rgb="FFD8E4BC"/>
        <bgColor indexed="64"/>
      </patternFill>
    </fill>
    <fill>
      <patternFill patternType="solid">
        <fgColor rgb="FFF4A81D"/>
        <bgColor indexed="64"/>
      </patternFill>
    </fill>
    <fill>
      <patternFill patternType="solid">
        <fgColor theme="0"/>
        <bgColor rgb="FF496884"/>
      </patternFill>
    </fill>
    <fill>
      <patternFill patternType="solid">
        <fgColor theme="0"/>
        <bgColor rgb="FFFFFFFF"/>
      </patternFill>
    </fill>
    <fill>
      <patternFill patternType="solid">
        <fgColor rgb="FF1F4E79"/>
        <bgColor rgb="FF496884"/>
      </patternFill>
    </fill>
    <fill>
      <patternFill patternType="solid">
        <fgColor rgb="FF1F4E79"/>
        <bgColor indexed="64"/>
      </patternFill>
    </fill>
    <fill>
      <patternFill patternType="solid">
        <fgColor rgb="FF2E7E8E"/>
        <bgColor rgb="FF496884"/>
      </patternFill>
    </fill>
    <fill>
      <patternFill patternType="solid">
        <fgColor rgb="FF214052"/>
        <bgColor rgb="FF496884"/>
      </patternFill>
    </fill>
    <fill>
      <patternFill patternType="solid">
        <fgColor rgb="FFB4C6E7"/>
        <bgColor rgb="FF7F7F7F"/>
      </patternFill>
    </fill>
    <fill>
      <patternFill patternType="solid">
        <fgColor theme="0"/>
        <bgColor theme="0"/>
      </patternFill>
    </fill>
    <fill>
      <patternFill patternType="solid">
        <fgColor theme="2" tint="-0.499984740745262"/>
        <bgColor indexed="64"/>
      </patternFill>
    </fill>
    <fill>
      <patternFill patternType="solid">
        <fgColor rgb="FF1E6978"/>
        <bgColor indexed="64"/>
      </patternFill>
    </fill>
    <fill>
      <patternFill patternType="solid">
        <fgColor rgb="FF214052"/>
        <bgColor rgb="FF214052"/>
      </patternFill>
    </fill>
    <fill>
      <patternFill patternType="solid">
        <fgColor rgb="FF214052"/>
        <bgColor theme="0"/>
      </patternFill>
    </fill>
    <fill>
      <patternFill patternType="solid">
        <fgColor rgb="FFD8E4BC"/>
        <bgColor theme="0"/>
      </patternFill>
    </fill>
    <fill>
      <patternFill patternType="solid">
        <fgColor rgb="FF496884"/>
        <bgColor rgb="FFF4A81D"/>
      </patternFill>
    </fill>
    <fill>
      <patternFill patternType="solid">
        <fgColor rgb="FF1F497D"/>
        <bgColor indexed="64"/>
      </patternFill>
    </fill>
    <fill>
      <patternFill patternType="solid">
        <fgColor rgb="FFF4A81D"/>
        <bgColor rgb="FFF4A81D"/>
      </patternFill>
    </fill>
    <fill>
      <patternFill patternType="solid">
        <fgColor rgb="FFD8E4BC"/>
        <bgColor rgb="FFD8E4BC"/>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medium">
        <color auto="1"/>
      </top>
      <bottom style="thin">
        <color auto="1"/>
      </bottom>
      <diagonal/>
    </border>
    <border>
      <left style="medium">
        <color auto="1"/>
      </left>
      <right/>
      <top/>
      <bottom/>
      <diagonal/>
    </border>
    <border>
      <left style="thin">
        <color auto="1"/>
      </left>
      <right style="medium">
        <color indexed="64"/>
      </right>
      <top style="medium">
        <color indexed="64"/>
      </top>
      <bottom style="thin">
        <color auto="1"/>
      </bottom>
      <diagonal/>
    </border>
    <border>
      <left style="medium">
        <color indexed="64"/>
      </left>
      <right style="thin">
        <color indexed="64"/>
      </right>
      <top/>
      <bottom style="thin">
        <color indexed="64"/>
      </bottom>
      <diagonal/>
    </border>
    <border>
      <left style="thin">
        <color auto="1"/>
      </left>
      <right style="thin">
        <color auto="1"/>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s>
  <cellStyleXfs count="22">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lignment horizontal="left" vertical="center"/>
    </xf>
    <xf numFmtId="0" fontId="3" fillId="3" borderId="0" applyAlignment="0">
      <alignment horizontal="left"/>
    </xf>
    <xf numFmtId="0" fontId="4" fillId="4" borderId="4"/>
    <xf numFmtId="0" fontId="4" fillId="6" borderId="4">
      <alignment horizontal="center" vertical="center"/>
    </xf>
    <xf numFmtId="0" fontId="10" fillId="0" borderId="0" applyNumberFormat="0" applyFill="0" applyBorder="0" applyAlignment="0" applyProtection="0"/>
    <xf numFmtId="0" fontId="11" fillId="0" borderId="0"/>
    <xf numFmtId="0" fontId="14" fillId="5" borderId="0" applyBorder="0">
      <alignment wrapText="1"/>
    </xf>
    <xf numFmtId="0" fontId="11" fillId="0" borderId="0"/>
    <xf numFmtId="0" fontId="4" fillId="6" borderId="4">
      <alignment horizontal="center" vertical="center"/>
    </xf>
    <xf numFmtId="43" fontId="18" fillId="0" borderId="0" applyFont="0" applyFill="0" applyBorder="0" applyAlignment="0" applyProtection="0"/>
    <xf numFmtId="9" fontId="11" fillId="0" borderId="0" applyFont="0" applyFill="0" applyBorder="0" applyAlignment="0" applyProtection="0"/>
    <xf numFmtId="0" fontId="9" fillId="5" borderId="0"/>
    <xf numFmtId="43" fontId="11" fillId="0" borderId="0" applyFont="0" applyFill="0" applyBorder="0" applyAlignment="0" applyProtection="0"/>
    <xf numFmtId="0" fontId="18" fillId="0" borderId="0"/>
    <xf numFmtId="0" fontId="11" fillId="0" borderId="0"/>
    <xf numFmtId="0" fontId="9" fillId="5" borderId="0"/>
    <xf numFmtId="0" fontId="4" fillId="6" borderId="4">
      <alignment horizontal="center" vertical="center"/>
    </xf>
    <xf numFmtId="0" fontId="4" fillId="4" borderId="4"/>
    <xf numFmtId="0" fontId="27" fillId="27" borderId="0"/>
  </cellStyleXfs>
  <cellXfs count="602">
    <xf numFmtId="0" fontId="0" fillId="0" borderId="0" xfId="0"/>
    <xf numFmtId="0" fontId="5" fillId="5" borderId="0" xfId="0" applyFont="1" applyFill="1" applyAlignment="1">
      <alignment vertical="center"/>
    </xf>
    <xf numFmtId="0" fontId="4" fillId="6" borderId="4" xfId="6">
      <alignment horizontal="center" vertical="center"/>
    </xf>
    <xf numFmtId="4" fontId="6"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 fontId="6" fillId="0" borderId="4" xfId="0" applyNumberFormat="1" applyFont="1" applyBorder="1" applyAlignment="1">
      <alignment horizontal="center" vertical="center" wrapText="1"/>
    </xf>
    <xf numFmtId="0" fontId="6" fillId="5"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2" fillId="8" borderId="4" xfId="0" applyFont="1" applyFill="1" applyBorder="1" applyAlignment="1">
      <alignment horizontal="center" vertical="center"/>
    </xf>
    <xf numFmtId="0" fontId="12" fillId="0" borderId="4" xfId="0" applyFont="1" applyBorder="1" applyAlignment="1">
      <alignment horizontal="center" vertical="center" wrapText="1"/>
    </xf>
    <xf numFmtId="3" fontId="8" fillId="0" borderId="4" xfId="0" applyNumberFormat="1" applyFont="1" applyBorder="1" applyAlignment="1">
      <alignment horizontal="center" vertical="center"/>
    </xf>
    <xf numFmtId="0" fontId="17" fillId="6" borderId="4" xfId="6" applyFont="1">
      <alignment horizontal="center" vertical="center"/>
    </xf>
    <xf numFmtId="0" fontId="17" fillId="6" borderId="10" xfId="6" applyFont="1" applyBorder="1">
      <alignment horizontal="center" vertical="center"/>
    </xf>
    <xf numFmtId="0" fontId="6" fillId="0" borderId="0" xfId="0" applyFont="1"/>
    <xf numFmtId="169" fontId="6" fillId="0" borderId="4" xfId="0" applyNumberFormat="1" applyFont="1" applyBorder="1" applyAlignment="1">
      <alignment horizontal="center" vertical="center" wrapText="1"/>
    </xf>
    <xf numFmtId="0" fontId="17" fillId="6" borderId="14" xfId="6" applyFont="1" applyBorder="1">
      <alignment horizontal="center" vertical="center"/>
    </xf>
    <xf numFmtId="0" fontId="14" fillId="5" borderId="0" xfId="9" applyBorder="1" applyAlignment="1">
      <alignment vertical="center" wrapText="1"/>
    </xf>
    <xf numFmtId="0" fontId="14" fillId="5" borderId="0" xfId="9" applyAlignment="1">
      <alignment vertical="center" wrapText="1"/>
    </xf>
    <xf numFmtId="168" fontId="8" fillId="0" borderId="4" xfId="13" applyNumberFormat="1" applyFont="1" applyFill="1" applyBorder="1" applyAlignment="1">
      <alignment horizontal="center" vertical="center"/>
    </xf>
    <xf numFmtId="0" fontId="5" fillId="5" borderId="0" xfId="16" applyFont="1" applyFill="1"/>
    <xf numFmtId="10" fontId="8" fillId="0" borderId="4" xfId="13" applyNumberFormat="1" applyFont="1" applyFill="1" applyBorder="1" applyAlignment="1">
      <alignment horizontal="center" vertical="center"/>
    </xf>
    <xf numFmtId="3" fontId="8" fillId="0" borderId="4" xfId="16" applyNumberFormat="1" applyFont="1" applyBorder="1" applyAlignment="1">
      <alignment horizontal="center"/>
    </xf>
    <xf numFmtId="0" fontId="14" fillId="5" borderId="0" xfId="16" applyFont="1" applyFill="1"/>
    <xf numFmtId="4" fontId="8" fillId="0" borderId="4" xfId="16" applyNumberFormat="1" applyFont="1" applyBorder="1" applyAlignment="1">
      <alignment horizontal="center" vertical="center"/>
    </xf>
    <xf numFmtId="0" fontId="4" fillId="6" borderId="14" xfId="6" applyBorder="1">
      <alignment horizontal="center" vertical="center"/>
    </xf>
    <xf numFmtId="0" fontId="19" fillId="0" borderId="4" xfId="7" applyFont="1" applyBorder="1" applyAlignment="1">
      <alignment vertical="center"/>
    </xf>
    <xf numFmtId="0" fontId="19" fillId="0" borderId="4" xfId="7" applyFont="1" applyFill="1" applyBorder="1" applyAlignment="1">
      <alignment vertical="center"/>
    </xf>
    <xf numFmtId="168" fontId="8" fillId="5" borderId="4" xfId="2" applyNumberFormat="1" applyFont="1" applyFill="1" applyBorder="1" applyAlignment="1">
      <alignment horizontal="center" vertical="center"/>
    </xf>
    <xf numFmtId="0" fontId="6" fillId="5" borderId="0" xfId="9" applyFont="1" applyBorder="1" applyAlignment="1">
      <alignment vertical="center" wrapText="1"/>
    </xf>
    <xf numFmtId="0" fontId="6" fillId="5" borderId="0" xfId="9" applyFont="1" applyAlignment="1">
      <alignment vertical="center" wrapText="1"/>
    </xf>
    <xf numFmtId="0" fontId="6" fillId="5" borderId="0" xfId="9" applyFont="1" applyBorder="1" applyAlignment="1">
      <alignment horizontal="left" vertical="center" wrapText="1"/>
    </xf>
    <xf numFmtId="0" fontId="20" fillId="5" borderId="0" xfId="16" applyFont="1" applyFill="1"/>
    <xf numFmtId="0" fontId="20" fillId="5" borderId="0" xfId="16" applyFont="1" applyFill="1" applyAlignment="1">
      <alignment vertical="center"/>
    </xf>
    <xf numFmtId="0" fontId="6" fillId="5" borderId="0" xfId="16" applyFont="1" applyFill="1" applyAlignment="1">
      <alignment vertical="center"/>
    </xf>
    <xf numFmtId="0" fontId="9" fillId="5" borderId="4" xfId="10" applyFont="1" applyFill="1" applyBorder="1" applyAlignment="1">
      <alignment vertical="center"/>
    </xf>
    <xf numFmtId="0" fontId="0" fillId="5" borderId="0" xfId="0" applyFill="1"/>
    <xf numFmtId="0" fontId="4" fillId="5" borderId="0" xfId="6" applyFill="1" applyBorder="1" applyAlignment="1">
      <alignment horizontal="center" vertical="center" wrapText="1"/>
    </xf>
    <xf numFmtId="37" fontId="8" fillId="15" borderId="4" xfId="1" applyNumberFormat="1" applyFont="1" applyFill="1" applyBorder="1" applyAlignment="1">
      <alignment horizontal="center"/>
    </xf>
    <xf numFmtId="39" fontId="12" fillId="15" borderId="4" xfId="1" applyNumberFormat="1" applyFont="1" applyFill="1" applyBorder="1" applyAlignment="1">
      <alignment horizontal="center" vertical="center"/>
    </xf>
    <xf numFmtId="39" fontId="6" fillId="15" borderId="4" xfId="1" applyNumberFormat="1" applyFont="1" applyFill="1" applyBorder="1" applyAlignment="1">
      <alignment horizontal="center" vertical="center"/>
    </xf>
    <xf numFmtId="10" fontId="8" fillId="15" borderId="4" xfId="2" applyNumberFormat="1" applyFont="1" applyFill="1" applyBorder="1" applyAlignment="1">
      <alignment horizontal="center" vertical="center"/>
    </xf>
    <xf numFmtId="2" fontId="8" fillId="5" borderId="4" xfId="2" applyNumberFormat="1" applyFont="1" applyFill="1" applyBorder="1" applyAlignment="1">
      <alignment horizontal="center" vertical="center"/>
    </xf>
    <xf numFmtId="0" fontId="6" fillId="5" borderId="4" xfId="9" applyFont="1" applyBorder="1" applyAlignment="1">
      <alignment horizontal="center" vertical="center" wrapText="1"/>
    </xf>
    <xf numFmtId="37" fontId="8" fillId="5" borderId="4" xfId="1" applyNumberFormat="1" applyFont="1" applyFill="1" applyBorder="1" applyAlignment="1">
      <alignment horizontal="center"/>
    </xf>
    <xf numFmtId="37" fontId="8" fillId="5" borderId="4" xfId="1" applyNumberFormat="1" applyFont="1" applyFill="1" applyBorder="1" applyAlignment="1">
      <alignment horizontal="center" vertical="center"/>
    </xf>
    <xf numFmtId="165" fontId="6" fillId="5" borderId="0" xfId="9" applyNumberFormat="1" applyFont="1" applyBorder="1" applyAlignment="1">
      <alignment horizontal="left" vertical="center" wrapText="1"/>
    </xf>
    <xf numFmtId="3" fontId="8" fillId="15" borderId="4" xfId="2" applyNumberFormat="1" applyFont="1" applyFill="1" applyBorder="1" applyAlignment="1">
      <alignment horizontal="center" vertical="center"/>
    </xf>
    <xf numFmtId="3" fontId="6" fillId="5" borderId="0" xfId="16" applyNumberFormat="1" applyFont="1" applyFill="1" applyAlignment="1">
      <alignment vertical="center"/>
    </xf>
    <xf numFmtId="3" fontId="6" fillId="5" borderId="0" xfId="9" applyNumberFormat="1" applyFont="1" applyBorder="1" applyAlignment="1">
      <alignment vertical="center" wrapText="1"/>
    </xf>
    <xf numFmtId="3" fontId="8" fillId="5" borderId="4" xfId="2" applyNumberFormat="1" applyFont="1" applyFill="1" applyBorder="1" applyAlignment="1">
      <alignment horizontal="center" vertical="center"/>
    </xf>
    <xf numFmtId="37" fontId="8" fillId="0" borderId="4" xfId="1" applyNumberFormat="1" applyFont="1" applyFill="1" applyBorder="1" applyAlignment="1">
      <alignment horizontal="center" vertical="center"/>
    </xf>
    <xf numFmtId="0" fontId="6" fillId="0" borderId="4" xfId="0" applyFont="1" applyBorder="1" applyAlignment="1">
      <alignment horizontal="center" vertical="center"/>
    </xf>
    <xf numFmtId="167" fontId="12" fillId="8" borderId="4" xfId="0" applyNumberFormat="1" applyFont="1" applyFill="1" applyBorder="1" applyAlignment="1">
      <alignment horizontal="center" vertical="center"/>
    </xf>
    <xf numFmtId="3" fontId="8" fillId="15" borderId="4" xfId="0" applyNumberFormat="1" applyFont="1" applyFill="1" applyBorder="1" applyAlignment="1">
      <alignment horizontal="center" vertical="center"/>
    </xf>
    <xf numFmtId="0" fontId="2" fillId="5" borderId="0" xfId="3" applyFill="1">
      <alignment horizontal="left" vertical="center"/>
    </xf>
    <xf numFmtId="0" fontId="3" fillId="5" borderId="0" xfId="4" applyFill="1" applyAlignment="1">
      <alignment vertical="center" wrapText="1"/>
    </xf>
    <xf numFmtId="0" fontId="4" fillId="6" borderId="14" xfId="6" applyBorder="1" applyAlignment="1">
      <alignment horizontal="center" vertical="center" wrapText="1"/>
    </xf>
    <xf numFmtId="0" fontId="4" fillId="6" borderId="14" xfId="9" applyFont="1" applyFill="1" applyBorder="1" applyAlignment="1">
      <alignment horizontal="center" vertical="center" wrapText="1"/>
    </xf>
    <xf numFmtId="3" fontId="12" fillId="17" borderId="4" xfId="17" applyNumberFormat="1" applyFont="1" applyFill="1" applyBorder="1" applyAlignment="1">
      <alignment horizontal="center" vertical="center"/>
    </xf>
    <xf numFmtId="10" fontId="8" fillId="0" borderId="4" xfId="2" applyNumberFormat="1" applyFont="1" applyFill="1" applyBorder="1" applyAlignment="1">
      <alignment horizontal="center" vertical="center" wrapText="1"/>
    </xf>
    <xf numFmtId="3" fontId="17" fillId="12" borderId="4" xfId="0" applyNumberFormat="1" applyFont="1" applyFill="1" applyBorder="1" applyAlignment="1">
      <alignment horizontal="center" vertical="center"/>
    </xf>
    <xf numFmtId="0" fontId="6" fillId="5" borderId="0" xfId="0" applyFont="1" applyFill="1"/>
    <xf numFmtId="0" fontId="17" fillId="6" borderId="18" xfId="6" applyFont="1" applyBorder="1" applyAlignment="1">
      <alignment vertical="center"/>
    </xf>
    <xf numFmtId="9" fontId="17" fillId="12" borderId="4" xfId="2" applyFont="1" applyFill="1" applyBorder="1" applyAlignment="1">
      <alignment horizontal="center" vertical="center"/>
    </xf>
    <xf numFmtId="168" fontId="17" fillId="12" borderId="4" xfId="2" applyNumberFormat="1" applyFont="1" applyFill="1" applyBorder="1" applyAlignment="1">
      <alignment horizontal="center" vertical="center"/>
    </xf>
    <xf numFmtId="0" fontId="4" fillId="6" borderId="4" xfId="6" applyAlignment="1">
      <alignment vertical="center"/>
    </xf>
    <xf numFmtId="0" fontId="8" fillId="0" borderId="4" xfId="16" applyFont="1" applyBorder="1" applyAlignment="1">
      <alignment horizontal="left" vertical="center" wrapText="1"/>
    </xf>
    <xf numFmtId="4" fontId="8" fillId="8" borderId="4" xfId="16" applyNumberFormat="1" applyFont="1" applyFill="1" applyBorder="1" applyAlignment="1">
      <alignment horizontal="center" vertical="center"/>
    </xf>
    <xf numFmtId="39" fontId="12" fillId="14" borderId="4" xfId="1" applyNumberFormat="1" applyFont="1" applyFill="1" applyBorder="1" applyAlignment="1">
      <alignment horizontal="center" vertical="center"/>
    </xf>
    <xf numFmtId="39" fontId="12" fillId="0" borderId="4" xfId="1" applyNumberFormat="1" applyFont="1" applyFill="1" applyBorder="1" applyAlignment="1">
      <alignment horizontal="center" vertical="center"/>
    </xf>
    <xf numFmtId="37" fontId="12" fillId="14" borderId="4" xfId="1" applyNumberFormat="1" applyFont="1" applyFill="1" applyBorder="1" applyAlignment="1">
      <alignment horizontal="center" vertical="center"/>
    </xf>
    <xf numFmtId="0" fontId="4" fillId="4" borderId="1" xfId="5" applyBorder="1"/>
    <xf numFmtId="3" fontId="8" fillId="10" borderId="4" xfId="8" applyNumberFormat="1" applyFont="1" applyFill="1" applyBorder="1" applyAlignment="1">
      <alignment horizontal="center" vertical="center" wrapText="1"/>
    </xf>
    <xf numFmtId="3" fontId="12" fillId="15" borderId="4" xfId="1" applyNumberFormat="1" applyFont="1" applyFill="1" applyBorder="1" applyAlignment="1">
      <alignment horizontal="center"/>
    </xf>
    <xf numFmtId="4" fontId="12" fillId="15" borderId="4" xfId="1" applyNumberFormat="1" applyFont="1" applyFill="1" applyBorder="1" applyAlignment="1">
      <alignment horizontal="center" vertical="center"/>
    </xf>
    <xf numFmtId="4" fontId="6" fillId="15" borderId="4" xfId="1" applyNumberFormat="1" applyFont="1" applyFill="1" applyBorder="1" applyAlignment="1">
      <alignment horizontal="center" vertical="center"/>
    </xf>
    <xf numFmtId="4" fontId="6" fillId="15" borderId="4" xfId="0" applyNumberFormat="1" applyFont="1" applyFill="1" applyBorder="1" applyAlignment="1">
      <alignment horizontal="center" vertical="center"/>
    </xf>
    <xf numFmtId="0" fontId="23" fillId="4" borderId="1" xfId="5" applyFont="1" applyBorder="1"/>
    <xf numFmtId="0" fontId="23" fillId="4" borderId="2" xfId="5" applyFont="1" applyBorder="1"/>
    <xf numFmtId="0" fontId="23" fillId="4" borderId="3" xfId="5" applyFont="1" applyBorder="1"/>
    <xf numFmtId="0" fontId="8" fillId="10" borderId="1" xfId="8" applyFont="1" applyFill="1" applyBorder="1" applyAlignment="1">
      <alignment vertical="center" wrapText="1"/>
    </xf>
    <xf numFmtId="3" fontId="8" fillId="26" borderId="4" xfId="8" applyNumberFormat="1" applyFont="1" applyFill="1" applyBorder="1" applyAlignment="1">
      <alignment horizontal="center" vertical="center" wrapText="1"/>
    </xf>
    <xf numFmtId="0" fontId="8" fillId="5" borderId="4" xfId="16" applyFont="1" applyFill="1" applyBorder="1" applyAlignment="1">
      <alignment vertical="center" wrapText="1"/>
    </xf>
    <xf numFmtId="10" fontId="8" fillId="15" borderId="4" xfId="2" applyNumberFormat="1" applyFont="1" applyFill="1" applyBorder="1" applyAlignment="1">
      <alignment horizontal="center" vertical="center" wrapText="1"/>
    </xf>
    <xf numFmtId="0" fontId="4" fillId="6" borderId="7" xfId="6" applyBorder="1" applyAlignment="1">
      <alignment horizontal="center" vertical="center" wrapText="1"/>
    </xf>
    <xf numFmtId="3" fontId="8" fillId="0" borderId="4" xfId="2" applyNumberFormat="1" applyFont="1" applyFill="1" applyBorder="1" applyAlignment="1">
      <alignment horizontal="center" vertical="center" wrapText="1"/>
    </xf>
    <xf numFmtId="165" fontId="8" fillId="18" borderId="4" xfId="0" applyNumberFormat="1" applyFont="1" applyFill="1" applyBorder="1" applyAlignment="1">
      <alignment horizontal="center" vertical="center"/>
    </xf>
    <xf numFmtId="166" fontId="6" fillId="18" borderId="4" xfId="0" applyNumberFormat="1" applyFont="1" applyFill="1" applyBorder="1" applyAlignment="1">
      <alignment horizontal="center" vertical="center"/>
    </xf>
    <xf numFmtId="0" fontId="8" fillId="5" borderId="4" xfId="0" applyFont="1" applyFill="1" applyBorder="1" applyAlignment="1">
      <alignment horizontal="center" vertical="center" wrapText="1"/>
    </xf>
    <xf numFmtId="0" fontId="17" fillId="24" borderId="1" xfId="5" applyFont="1" applyFill="1" applyBorder="1"/>
    <xf numFmtId="3" fontId="8" fillId="15" borderId="4" xfId="16" applyNumberFormat="1" applyFont="1" applyFill="1" applyBorder="1" applyAlignment="1">
      <alignment horizontal="center"/>
    </xf>
    <xf numFmtId="9" fontId="12" fillId="21" borderId="4" xfId="2" applyFont="1" applyFill="1" applyBorder="1" applyAlignment="1">
      <alignment horizontal="center" vertical="center"/>
    </xf>
    <xf numFmtId="3" fontId="8" fillId="0" borderId="4" xfId="16" applyNumberFormat="1" applyFont="1" applyBorder="1" applyAlignment="1">
      <alignment horizontal="center" vertical="center"/>
    </xf>
    <xf numFmtId="0" fontId="8" fillId="10" borderId="4" xfId="8" applyFont="1" applyFill="1" applyBorder="1" applyAlignment="1">
      <alignment vertical="center" wrapText="1"/>
    </xf>
    <xf numFmtId="37" fontId="8" fillId="15" borderId="13" xfId="1" applyNumberFormat="1" applyFont="1" applyFill="1" applyBorder="1" applyAlignment="1">
      <alignment horizontal="center"/>
    </xf>
    <xf numFmtId="37" fontId="8" fillId="15" borderId="14" xfId="1" applyNumberFormat="1" applyFont="1" applyFill="1" applyBorder="1" applyAlignment="1">
      <alignment horizontal="center"/>
    </xf>
    <xf numFmtId="0" fontId="8" fillId="5" borderId="1" xfId="16" applyFont="1" applyFill="1" applyBorder="1" applyAlignment="1">
      <alignment vertical="center" wrapText="1"/>
    </xf>
    <xf numFmtId="0" fontId="15" fillId="10" borderId="1" xfId="8" applyFont="1" applyFill="1" applyBorder="1" applyAlignment="1">
      <alignment vertical="center" wrapText="1"/>
    </xf>
    <xf numFmtId="0" fontId="8" fillId="10" borderId="5" xfId="8" applyFont="1" applyFill="1" applyBorder="1" applyAlignment="1">
      <alignment vertical="center" wrapText="1"/>
    </xf>
    <xf numFmtId="39" fontId="12" fillId="15" borderId="14" xfId="1" applyNumberFormat="1" applyFont="1" applyFill="1" applyBorder="1" applyAlignment="1">
      <alignment horizontal="center" vertical="center"/>
    </xf>
    <xf numFmtId="39" fontId="6" fillId="15" borderId="14" xfId="1" applyNumberFormat="1" applyFont="1" applyFill="1" applyBorder="1" applyAlignment="1">
      <alignment horizontal="center" vertical="center"/>
    </xf>
    <xf numFmtId="168" fontId="8" fillId="5" borderId="2" xfId="2" applyNumberFormat="1" applyFont="1" applyFill="1" applyBorder="1" applyAlignment="1">
      <alignment horizontal="center" vertical="center"/>
    </xf>
    <xf numFmtId="168" fontId="8" fillId="5" borderId="3" xfId="2" applyNumberFormat="1" applyFont="1" applyFill="1" applyBorder="1" applyAlignment="1">
      <alignment horizontal="center" vertical="center"/>
    </xf>
    <xf numFmtId="39" fontId="6" fillId="0" borderId="4" xfId="0" applyNumberFormat="1" applyFont="1" applyBorder="1" applyAlignment="1">
      <alignment horizontal="center" vertical="center"/>
    </xf>
    <xf numFmtId="168" fontId="8" fillId="0" borderId="13" xfId="13" applyNumberFormat="1" applyFont="1" applyFill="1" applyBorder="1" applyAlignment="1">
      <alignment horizontal="center" vertical="center"/>
    </xf>
    <xf numFmtId="0" fontId="17" fillId="24" borderId="5" xfId="5" applyFont="1" applyFill="1" applyBorder="1"/>
    <xf numFmtId="4" fontId="8" fillId="8" borderId="13" xfId="16" applyNumberFormat="1" applyFont="1" applyFill="1" applyBorder="1" applyAlignment="1">
      <alignment horizontal="center" vertical="center"/>
    </xf>
    <xf numFmtId="4" fontId="8" fillId="0" borderId="13" xfId="16" applyNumberFormat="1" applyFont="1" applyBorder="1" applyAlignment="1">
      <alignment horizontal="center" vertical="center"/>
    </xf>
    <xf numFmtId="0" fontId="6" fillId="27" borderId="24" xfId="17" applyFont="1" applyFill="1" applyBorder="1" applyAlignment="1">
      <alignment horizontal="center" vertical="center" wrapText="1"/>
    </xf>
    <xf numFmtId="0" fontId="12" fillId="9" borderId="24" xfId="17" applyFont="1" applyFill="1" applyBorder="1" applyAlignment="1">
      <alignment horizontal="center" vertical="center" wrapText="1"/>
    </xf>
    <xf numFmtId="164" fontId="12" fillId="7" borderId="24" xfId="17" applyNumberFormat="1" applyFont="1" applyFill="1" applyBorder="1" applyAlignment="1">
      <alignment horizontal="center" vertical="center"/>
    </xf>
    <xf numFmtId="0" fontId="6" fillId="27" borderId="24" xfId="17" applyFont="1" applyFill="1" applyBorder="1" applyAlignment="1">
      <alignment horizontal="center" vertical="center"/>
    </xf>
    <xf numFmtId="0" fontId="12" fillId="9" borderId="24" xfId="17" applyFont="1" applyFill="1" applyBorder="1" applyAlignment="1">
      <alignment horizontal="center" vertical="center"/>
    </xf>
    <xf numFmtId="171" fontId="12" fillId="7" borderId="24" xfId="17" applyNumberFormat="1" applyFont="1" applyFill="1" applyBorder="1" applyAlignment="1">
      <alignment horizontal="center" vertical="center"/>
    </xf>
    <xf numFmtId="165" fontId="12" fillId="7" borderId="24" xfId="17" applyNumberFormat="1" applyFont="1" applyFill="1" applyBorder="1" applyAlignment="1">
      <alignment horizontal="center" vertical="center"/>
    </xf>
    <xf numFmtId="0" fontId="17" fillId="6" borderId="4" xfId="6" applyFont="1" applyAlignment="1">
      <alignment vertical="center"/>
    </xf>
    <xf numFmtId="0" fontId="8" fillId="0" borderId="4" xfId="8" applyFont="1" applyBorder="1" applyAlignment="1">
      <alignment vertical="center" wrapText="1"/>
    </xf>
    <xf numFmtId="0" fontId="8" fillId="11" borderId="4" xfId="8" applyFont="1" applyFill="1" applyBorder="1" applyAlignment="1">
      <alignment vertical="center" wrapText="1"/>
    </xf>
    <xf numFmtId="3" fontId="8" fillId="11" borderId="4" xfId="8" applyNumberFormat="1" applyFont="1" applyFill="1" applyBorder="1" applyAlignment="1">
      <alignment vertical="center" wrapText="1"/>
    </xf>
    <xf numFmtId="0" fontId="16" fillId="0" borderId="4" xfId="8" applyFont="1" applyBorder="1" applyAlignment="1">
      <alignment vertical="center" wrapText="1"/>
    </xf>
    <xf numFmtId="0" fontId="17" fillId="6" borderId="14" xfId="6" applyFont="1" applyBorder="1" applyAlignment="1">
      <alignment vertical="center"/>
    </xf>
    <xf numFmtId="0" fontId="8" fillId="11" borderId="13" xfId="8" applyFont="1" applyFill="1" applyBorder="1" applyAlignment="1">
      <alignment vertical="center" wrapText="1"/>
    </xf>
    <xf numFmtId="0" fontId="8" fillId="11" borderId="14" xfId="8" applyFont="1" applyFill="1" applyBorder="1" applyAlignment="1">
      <alignment vertical="center" wrapText="1"/>
    </xf>
    <xf numFmtId="0" fontId="17" fillId="12" borderId="4" xfId="0" applyFont="1" applyFill="1" applyBorder="1" applyAlignment="1">
      <alignment vertical="center" wrapText="1"/>
    </xf>
    <xf numFmtId="0" fontId="6" fillId="0" borderId="1" xfId="0" applyFont="1" applyBorder="1" applyAlignment="1">
      <alignment vertical="center" wrapText="1"/>
    </xf>
    <xf numFmtId="9" fontId="8" fillId="8" borderId="7" xfId="2" applyFont="1" applyFill="1" applyBorder="1" applyAlignment="1">
      <alignment horizontal="center" vertical="center"/>
    </xf>
    <xf numFmtId="9" fontId="8" fillId="0" borderId="7" xfId="2" applyFont="1" applyFill="1" applyBorder="1" applyAlignment="1">
      <alignment horizontal="center" vertical="center"/>
    </xf>
    <xf numFmtId="0" fontId="9" fillId="5" borderId="13" xfId="10" applyFont="1" applyFill="1" applyBorder="1" applyAlignment="1">
      <alignment vertical="center"/>
    </xf>
    <xf numFmtId="9" fontId="12" fillId="21" borderId="13" xfId="2" applyFont="1" applyFill="1" applyBorder="1" applyAlignment="1">
      <alignment horizontal="center" vertical="center"/>
    </xf>
    <xf numFmtId="3" fontId="12" fillId="17" borderId="13" xfId="17" applyNumberFormat="1" applyFont="1" applyFill="1" applyBorder="1" applyAlignment="1">
      <alignment horizontal="center" vertical="center"/>
    </xf>
    <xf numFmtId="3" fontId="17" fillId="28" borderId="4" xfId="0" applyNumberFormat="1" applyFont="1" applyFill="1" applyBorder="1" applyAlignment="1">
      <alignment horizontal="center" vertical="center"/>
    </xf>
    <xf numFmtId="3" fontId="17" fillId="13" borderId="4" xfId="0" applyNumberFormat="1" applyFont="1" applyFill="1" applyBorder="1" applyAlignment="1">
      <alignment horizontal="center" vertical="center"/>
    </xf>
    <xf numFmtId="0" fontId="25" fillId="5" borderId="0" xfId="16" applyFont="1" applyFill="1"/>
    <xf numFmtId="0" fontId="21" fillId="5" borderId="0" xfId="16" applyFont="1" applyFill="1"/>
    <xf numFmtId="0" fontId="20" fillId="5" borderId="0" xfId="0" applyFont="1" applyFill="1"/>
    <xf numFmtId="0" fontId="8" fillId="0" borderId="1" xfId="16" applyFont="1" applyBorder="1" applyAlignment="1">
      <alignment horizontal="left" vertical="center" wrapText="1"/>
    </xf>
    <xf numFmtId="0" fontId="8" fillId="0" borderId="8" xfId="16" applyFont="1" applyBorder="1" applyAlignment="1">
      <alignment horizontal="left" vertical="center" wrapText="1"/>
    </xf>
    <xf numFmtId="0" fontId="17" fillId="28" borderId="1" xfId="0" applyFont="1" applyFill="1" applyBorder="1" applyAlignment="1">
      <alignment vertical="center" wrapText="1"/>
    </xf>
    <xf numFmtId="0" fontId="17" fillId="13" borderId="1" xfId="0" applyFont="1" applyFill="1" applyBorder="1" applyAlignment="1">
      <alignment vertical="center" wrapText="1"/>
    </xf>
    <xf numFmtId="0" fontId="23" fillId="2" borderId="1" xfId="6" applyFont="1" applyFill="1" applyBorder="1" applyAlignment="1">
      <alignment vertical="center"/>
    </xf>
    <xf numFmtId="0" fontId="23" fillId="2" borderId="2" xfId="6" applyFont="1" applyFill="1" applyBorder="1" applyAlignment="1">
      <alignment vertical="center" wrapText="1"/>
    </xf>
    <xf numFmtId="0" fontId="23" fillId="2" borderId="3" xfId="6" applyFont="1" applyFill="1" applyBorder="1" applyAlignment="1">
      <alignment vertical="center" wrapText="1"/>
    </xf>
    <xf numFmtId="3" fontId="12" fillId="21" borderId="4" xfId="17" applyNumberFormat="1" applyFont="1" applyFill="1" applyBorder="1" applyAlignment="1">
      <alignment horizontal="center" vertical="center"/>
    </xf>
    <xf numFmtId="4" fontId="12" fillId="21" borderId="4" xfId="17" applyNumberFormat="1" applyFont="1" applyFill="1" applyBorder="1" applyAlignment="1">
      <alignment horizontal="center" vertical="center"/>
    </xf>
    <xf numFmtId="168" fontId="8" fillId="5" borderId="13" xfId="2" applyNumberFormat="1" applyFont="1" applyFill="1" applyBorder="1" applyAlignment="1">
      <alignment horizontal="center" vertical="center"/>
    </xf>
    <xf numFmtId="9" fontId="12" fillId="14" borderId="4" xfId="2" applyFont="1" applyFill="1" applyBorder="1" applyAlignment="1">
      <alignment horizontal="center" vertical="center"/>
    </xf>
    <xf numFmtId="9" fontId="12" fillId="17" borderId="4" xfId="2" applyFont="1" applyFill="1" applyBorder="1" applyAlignment="1">
      <alignment horizontal="center" vertical="center"/>
    </xf>
    <xf numFmtId="0" fontId="9" fillId="5" borderId="4" xfId="10" applyFont="1" applyFill="1" applyBorder="1" applyAlignment="1">
      <alignment vertical="center" wrapText="1"/>
    </xf>
    <xf numFmtId="0" fontId="17" fillId="6" borderId="10" xfId="19" applyFont="1" applyBorder="1">
      <alignment horizontal="center" vertical="center"/>
    </xf>
    <xf numFmtId="169" fontId="6" fillId="14" borderId="13" xfId="0" applyNumberFormat="1" applyFont="1" applyFill="1" applyBorder="1" applyAlignment="1">
      <alignment horizontal="center" vertical="center"/>
    </xf>
    <xf numFmtId="9" fontId="8" fillId="14" borderId="13" xfId="2" applyFont="1" applyFill="1" applyBorder="1" applyAlignment="1">
      <alignment horizontal="center" vertical="center"/>
    </xf>
    <xf numFmtId="9" fontId="8" fillId="14" borderId="4" xfId="2" applyFont="1" applyFill="1" applyBorder="1" applyAlignment="1">
      <alignment horizontal="center" vertical="center"/>
    </xf>
    <xf numFmtId="0" fontId="17" fillId="6" borderId="13" xfId="19" applyFont="1" applyBorder="1" applyAlignment="1">
      <alignment vertical="center"/>
    </xf>
    <xf numFmtId="0" fontId="17" fillId="6" borderId="13" xfId="19" applyFont="1" applyBorder="1">
      <alignment horizontal="center" vertical="center"/>
    </xf>
    <xf numFmtId="9" fontId="6" fillId="14" borderId="4" xfId="0" applyNumberFormat="1" applyFont="1" applyFill="1" applyBorder="1" applyAlignment="1">
      <alignment horizontal="center" vertical="center"/>
    </xf>
    <xf numFmtId="0" fontId="6" fillId="0" borderId="0" xfId="9" applyFont="1" applyFill="1" applyBorder="1" applyAlignment="1">
      <alignment vertical="center" wrapText="1"/>
    </xf>
    <xf numFmtId="0" fontId="20" fillId="0" borderId="0" xfId="16" applyFont="1"/>
    <xf numFmtId="9" fontId="6" fillId="14" borderId="13" xfId="2" applyFont="1" applyFill="1" applyBorder="1" applyAlignment="1">
      <alignment horizontal="center" vertical="center"/>
    </xf>
    <xf numFmtId="10" fontId="6" fillId="14" borderId="13" xfId="2" applyNumberFormat="1" applyFont="1" applyFill="1" applyBorder="1" applyAlignment="1">
      <alignment horizontal="center" vertical="center"/>
    </xf>
    <xf numFmtId="0" fontId="6" fillId="0" borderId="3" xfId="0" applyFont="1" applyBorder="1" applyAlignment="1">
      <alignment vertical="center" wrapText="1"/>
    </xf>
    <xf numFmtId="168" fontId="8" fillId="15" borderId="4" xfId="2" applyNumberFormat="1" applyFont="1" applyFill="1" applyBorder="1" applyAlignment="1">
      <alignment horizontal="center" vertical="center"/>
    </xf>
    <xf numFmtId="0" fontId="8" fillId="5" borderId="4" xfId="0" applyFont="1" applyFill="1" applyBorder="1" applyAlignment="1">
      <alignment vertical="center" wrapText="1"/>
    </xf>
    <xf numFmtId="3" fontId="8" fillId="14" borderId="13" xfId="0" applyNumberFormat="1" applyFont="1" applyFill="1" applyBorder="1" applyAlignment="1">
      <alignment horizontal="center" vertical="center"/>
    </xf>
    <xf numFmtId="9" fontId="6" fillId="0" borderId="4" xfId="0" applyNumberFormat="1" applyFont="1" applyBorder="1" applyAlignment="1">
      <alignment horizontal="center" vertical="center"/>
    </xf>
    <xf numFmtId="0" fontId="6" fillId="0" borderId="4" xfId="0" applyFont="1" applyBorder="1" applyAlignment="1">
      <alignment vertical="center" wrapText="1"/>
    </xf>
    <xf numFmtId="3" fontId="6" fillId="14" borderId="4" xfId="0" applyNumberFormat="1" applyFont="1" applyFill="1" applyBorder="1" applyAlignment="1">
      <alignment horizontal="center" vertical="center"/>
    </xf>
    <xf numFmtId="173" fontId="6" fillId="14" borderId="13" xfId="0" applyNumberFormat="1" applyFont="1" applyFill="1" applyBorder="1" applyAlignment="1">
      <alignment horizontal="center" vertical="center"/>
    </xf>
    <xf numFmtId="173" fontId="6" fillId="14" borderId="4" xfId="0" applyNumberFormat="1" applyFont="1" applyFill="1" applyBorder="1" applyAlignment="1">
      <alignment horizontal="center" vertical="center"/>
    </xf>
    <xf numFmtId="173" fontId="6" fillId="14" borderId="14" xfId="0" applyNumberFormat="1" applyFont="1" applyFill="1" applyBorder="1" applyAlignment="1">
      <alignment horizontal="center" vertical="center"/>
    </xf>
    <xf numFmtId="9" fontId="6" fillId="14" borderId="4" xfId="2" applyFont="1" applyFill="1" applyBorder="1" applyAlignment="1">
      <alignment horizontal="center" vertical="center"/>
    </xf>
    <xf numFmtId="0" fontId="8" fillId="5" borderId="4" xfId="0" applyFont="1" applyFill="1" applyBorder="1" applyAlignment="1">
      <alignment horizontal="left" vertical="center" wrapText="1"/>
    </xf>
    <xf numFmtId="0" fontId="6" fillId="0" borderId="20" xfId="0" applyFont="1" applyBorder="1" applyAlignment="1">
      <alignment vertical="center" wrapText="1"/>
    </xf>
    <xf numFmtId="9" fontId="6" fillId="14" borderId="14" xfId="2" applyFont="1" applyFill="1" applyBorder="1" applyAlignment="1">
      <alignment horizontal="center" vertical="center"/>
    </xf>
    <xf numFmtId="0" fontId="8" fillId="5" borderId="1" xfId="0" applyFont="1" applyFill="1" applyBorder="1" applyAlignment="1">
      <alignment vertical="center" wrapText="1"/>
    </xf>
    <xf numFmtId="10" fontId="6" fillId="0" borderId="4" xfId="0" applyNumberFormat="1" applyFont="1" applyBorder="1" applyAlignment="1">
      <alignment horizontal="center" vertical="center"/>
    </xf>
    <xf numFmtId="2" fontId="6" fillId="14" borderId="4" xfId="0" applyNumberFormat="1" applyFont="1" applyFill="1" applyBorder="1" applyAlignment="1">
      <alignment horizontal="center"/>
    </xf>
    <xf numFmtId="0" fontId="6" fillId="0" borderId="13" xfId="0" applyFont="1" applyBorder="1" applyAlignment="1">
      <alignment vertical="center" wrapText="1"/>
    </xf>
    <xf numFmtId="2" fontId="6" fillId="14" borderId="13" xfId="0" applyNumberFormat="1" applyFont="1" applyFill="1" applyBorder="1" applyAlignment="1">
      <alignment horizontal="center"/>
    </xf>
    <xf numFmtId="174" fontId="6" fillId="0" borderId="4" xfId="0" applyNumberFormat="1" applyFont="1" applyBorder="1" applyAlignment="1">
      <alignment horizontal="center" vertical="center" wrapText="1"/>
    </xf>
    <xf numFmtId="175" fontId="12" fillId="15" borderId="4" xfId="1" applyNumberFormat="1" applyFont="1" applyFill="1" applyBorder="1" applyAlignment="1">
      <alignment horizontal="center" vertical="center"/>
    </xf>
    <xf numFmtId="0" fontId="8" fillId="0" borderId="1" xfId="8" applyFont="1" applyBorder="1" applyAlignment="1">
      <alignment vertical="center" wrapText="1"/>
    </xf>
    <xf numFmtId="4" fontId="8" fillId="15" borderId="4" xfId="1" applyNumberFormat="1" applyFont="1" applyFill="1" applyBorder="1" applyAlignment="1">
      <alignment horizontal="center" vertical="center"/>
    </xf>
    <xf numFmtId="4" fontId="8" fillId="15" borderId="4" xfId="0" applyNumberFormat="1" applyFont="1" applyFill="1" applyBorder="1" applyAlignment="1">
      <alignment horizontal="center" vertical="center"/>
    </xf>
    <xf numFmtId="4" fontId="8" fillId="0" borderId="4" xfId="1" applyNumberFormat="1" applyFont="1" applyFill="1" applyBorder="1" applyAlignment="1">
      <alignment horizontal="center" vertical="center"/>
    </xf>
    <xf numFmtId="175" fontId="12" fillId="0" borderId="4" xfId="1" applyNumberFormat="1" applyFont="1" applyFill="1" applyBorder="1" applyAlignment="1">
      <alignment horizontal="center" vertical="center"/>
    </xf>
    <xf numFmtId="4" fontId="12" fillId="0" borderId="4" xfId="1" applyNumberFormat="1" applyFont="1" applyFill="1" applyBorder="1" applyAlignment="1">
      <alignment horizontal="center" vertical="center"/>
    </xf>
    <xf numFmtId="3" fontId="12" fillId="0" borderId="4" xfId="17" applyNumberFormat="1" applyFont="1" applyBorder="1" applyAlignment="1">
      <alignment horizontal="center" vertical="center"/>
    </xf>
    <xf numFmtId="3" fontId="8" fillId="0" borderId="14" xfId="0" applyNumberFormat="1" applyFont="1" applyBorder="1" applyAlignment="1">
      <alignment horizontal="center" vertical="center"/>
    </xf>
    <xf numFmtId="10" fontId="8" fillId="5" borderId="4" xfId="2" applyNumberFormat="1" applyFont="1" applyFill="1" applyBorder="1" applyAlignment="1">
      <alignment horizontal="center" vertical="center"/>
    </xf>
    <xf numFmtId="3" fontId="8" fillId="0" borderId="13" xfId="0" applyNumberFormat="1" applyFont="1" applyBorder="1" applyAlignment="1">
      <alignment horizontal="center" vertical="center"/>
    </xf>
    <xf numFmtId="37" fontId="8" fillId="15" borderId="4" xfId="1" applyNumberFormat="1" applyFont="1" applyFill="1" applyBorder="1" applyAlignment="1">
      <alignment horizontal="center" vertical="center"/>
    </xf>
    <xf numFmtId="0" fontId="28" fillId="24" borderId="2" xfId="5" applyFont="1" applyFill="1" applyBorder="1"/>
    <xf numFmtId="168" fontId="8" fillId="14" borderId="4" xfId="2" applyNumberFormat="1" applyFont="1" applyFill="1" applyBorder="1" applyAlignment="1">
      <alignment horizontal="center" vertical="center" wrapText="1"/>
    </xf>
    <xf numFmtId="3" fontId="8" fillId="15" borderId="4" xfId="1" applyNumberFormat="1" applyFont="1" applyFill="1" applyBorder="1" applyAlignment="1">
      <alignment horizontal="center" vertical="center"/>
    </xf>
    <xf numFmtId="3" fontId="6" fillId="5" borderId="4" xfId="0" applyNumberFormat="1" applyFont="1" applyFill="1" applyBorder="1" applyAlignment="1">
      <alignment horizontal="center" vertical="center" wrapText="1"/>
    </xf>
    <xf numFmtId="9" fontId="12" fillId="0" borderId="4" xfId="2" applyFont="1" applyFill="1" applyBorder="1" applyAlignment="1">
      <alignment horizontal="center" vertical="center"/>
    </xf>
    <xf numFmtId="3" fontId="6" fillId="8" borderId="4" xfId="0" applyNumberFormat="1" applyFont="1" applyFill="1" applyBorder="1" applyAlignment="1">
      <alignment horizontal="center" vertical="center"/>
    </xf>
    <xf numFmtId="0" fontId="6" fillId="5" borderId="4" xfId="0" applyFont="1" applyFill="1" applyBorder="1" applyAlignment="1">
      <alignment horizontal="center" vertical="center"/>
    </xf>
    <xf numFmtId="9" fontId="12" fillId="8" borderId="4" xfId="2" applyFont="1" applyFill="1" applyBorder="1" applyAlignment="1">
      <alignment horizontal="center" vertical="center"/>
    </xf>
    <xf numFmtId="3" fontId="12" fillId="14" borderId="4" xfId="17" applyNumberFormat="1" applyFont="1" applyFill="1" applyBorder="1" applyAlignment="1">
      <alignment horizontal="center" vertical="center"/>
    </xf>
    <xf numFmtId="0" fontId="6" fillId="5" borderId="0" xfId="9" applyFont="1" applyBorder="1">
      <alignment wrapText="1"/>
    </xf>
    <xf numFmtId="0" fontId="4" fillId="22" borderId="1" xfId="5" applyFill="1" applyBorder="1"/>
    <xf numFmtId="0" fontId="4" fillId="22" borderId="2" xfId="5" applyFill="1" applyBorder="1"/>
    <xf numFmtId="0" fontId="4" fillId="22" borderId="3" xfId="5" applyFill="1" applyBorder="1"/>
    <xf numFmtId="0" fontId="6" fillId="5" borderId="0" xfId="0" applyFont="1" applyFill="1" applyAlignment="1">
      <alignment vertical="center"/>
    </xf>
    <xf numFmtId="0" fontId="22" fillId="5" borderId="0" xfId="0" applyFont="1" applyFill="1" applyAlignment="1">
      <alignment vertical="center"/>
    </xf>
    <xf numFmtId="0" fontId="31" fillId="5" borderId="0" xfId="0" applyFont="1" applyFill="1"/>
    <xf numFmtId="0" fontId="14" fillId="5" borderId="0" xfId="0" applyFont="1" applyFill="1"/>
    <xf numFmtId="0" fontId="22" fillId="5" borderId="0" xfId="0" applyFont="1" applyFill="1"/>
    <xf numFmtId="172" fontId="6" fillId="5" borderId="0" xfId="0" applyNumberFormat="1" applyFont="1" applyFill="1"/>
    <xf numFmtId="0" fontId="2" fillId="2" borderId="1" xfId="3" applyBorder="1" applyAlignment="1">
      <alignment vertical="center"/>
    </xf>
    <xf numFmtId="0" fontId="2" fillId="2" borderId="2" xfId="3" applyBorder="1" applyAlignment="1">
      <alignment vertical="center"/>
    </xf>
    <xf numFmtId="0" fontId="2" fillId="2" borderId="3" xfId="3" applyBorder="1" applyAlignment="1">
      <alignment vertical="center"/>
    </xf>
    <xf numFmtId="0" fontId="8" fillId="10" borderId="13" xfId="8" applyFont="1" applyFill="1" applyBorder="1" applyAlignment="1">
      <alignment vertical="center" wrapText="1"/>
    </xf>
    <xf numFmtId="0" fontId="23" fillId="4" borderId="8" xfId="5" applyFont="1" applyBorder="1"/>
    <xf numFmtId="0" fontId="23" fillId="4" borderId="12" xfId="5" applyFont="1" applyBorder="1"/>
    <xf numFmtId="0" fontId="23" fillId="4" borderId="9" xfId="5" applyFont="1" applyBorder="1"/>
    <xf numFmtId="0" fontId="4" fillId="22" borderId="5" xfId="5" applyFill="1" applyBorder="1"/>
    <xf numFmtId="0" fontId="4" fillId="22" borderId="6" xfId="5" applyFill="1" applyBorder="1"/>
    <xf numFmtId="0" fontId="4" fillId="22" borderId="7" xfId="5" applyFill="1" applyBorder="1"/>
    <xf numFmtId="0" fontId="8" fillId="5" borderId="13" xfId="16" applyFont="1" applyFill="1" applyBorder="1" applyAlignment="1">
      <alignment vertical="center" wrapText="1"/>
    </xf>
    <xf numFmtId="10" fontId="8" fillId="15" borderId="13" xfId="2" applyNumberFormat="1" applyFont="1" applyFill="1" applyBorder="1" applyAlignment="1">
      <alignment horizontal="center" vertical="center" wrapText="1"/>
    </xf>
    <xf numFmtId="10" fontId="8" fillId="15" borderId="13" xfId="2" applyNumberFormat="1" applyFont="1" applyFill="1" applyBorder="1" applyAlignment="1">
      <alignment horizontal="center" vertical="center"/>
    </xf>
    <xf numFmtId="0" fontId="8" fillId="5" borderId="14" xfId="16" applyFont="1" applyFill="1" applyBorder="1" applyAlignment="1">
      <alignment vertical="center" wrapText="1"/>
    </xf>
    <xf numFmtId="10" fontId="8" fillId="15" borderId="14" xfId="2" applyNumberFormat="1" applyFont="1" applyFill="1" applyBorder="1" applyAlignment="1">
      <alignment horizontal="center" vertical="center" wrapText="1"/>
    </xf>
    <xf numFmtId="10" fontId="8" fillId="15" borderId="14" xfId="2" applyNumberFormat="1" applyFont="1" applyFill="1" applyBorder="1" applyAlignment="1">
      <alignment horizontal="center" vertical="center"/>
    </xf>
    <xf numFmtId="0" fontId="6" fillId="23" borderId="2" xfId="0" applyFont="1" applyFill="1" applyBorder="1"/>
    <xf numFmtId="0" fontId="6" fillId="23" borderId="3" xfId="0" applyFont="1" applyFill="1" applyBorder="1"/>
    <xf numFmtId="0" fontId="23" fillId="4" borderId="5" xfId="5" applyFont="1" applyBorder="1"/>
    <xf numFmtId="0" fontId="23" fillId="4" borderId="6" xfId="5" applyFont="1" applyBorder="1"/>
    <xf numFmtId="0" fontId="23" fillId="4" borderId="7" xfId="5" applyFont="1" applyBorder="1"/>
    <xf numFmtId="39" fontId="12" fillId="14" borderId="13" xfId="1" applyNumberFormat="1" applyFont="1" applyFill="1" applyBorder="1" applyAlignment="1">
      <alignment horizontal="center" vertical="center"/>
    </xf>
    <xf numFmtId="39" fontId="12" fillId="0" borderId="13" xfId="1" applyNumberFormat="1" applyFont="1" applyFill="1" applyBorder="1" applyAlignment="1">
      <alignment horizontal="center" vertical="center"/>
    </xf>
    <xf numFmtId="0" fontId="8" fillId="5" borderId="0" xfId="0" applyFont="1" applyFill="1" applyAlignment="1">
      <alignment vertical="center" wrapText="1"/>
    </xf>
    <xf numFmtId="0" fontId="21" fillId="5" borderId="0" xfId="9" applyFont="1" applyBorder="1" applyAlignment="1">
      <alignment vertical="center" wrapText="1"/>
    </xf>
    <xf numFmtId="0" fontId="20" fillId="5" borderId="0" xfId="9" applyFont="1" applyAlignment="1">
      <alignment vertical="center" wrapText="1"/>
    </xf>
    <xf numFmtId="0" fontId="26" fillId="5" borderId="0" xfId="0" applyFont="1" applyFill="1"/>
    <xf numFmtId="0" fontId="21" fillId="5" borderId="0" xfId="9" applyFont="1" applyAlignment="1">
      <alignment vertical="center" wrapText="1"/>
    </xf>
    <xf numFmtId="37" fontId="8" fillId="5" borderId="0" xfId="0" applyNumberFormat="1" applyFont="1" applyFill="1" applyAlignment="1">
      <alignment vertical="center" wrapText="1"/>
    </xf>
    <xf numFmtId="0" fontId="22" fillId="5" borderId="0" xfId="0" applyFont="1" applyFill="1" applyAlignment="1">
      <alignment horizontal="left" vertical="center" wrapText="1"/>
    </xf>
    <xf numFmtId="37" fontId="8" fillId="5" borderId="13" xfId="1" applyNumberFormat="1" applyFont="1" applyFill="1" applyBorder="1" applyAlignment="1">
      <alignment horizontal="center"/>
    </xf>
    <xf numFmtId="0" fontId="17" fillId="6" borderId="5" xfId="6" applyFont="1" applyBorder="1" applyAlignment="1">
      <alignment vertical="center"/>
    </xf>
    <xf numFmtId="0" fontId="3" fillId="3" borderId="5" xfId="4" applyBorder="1" applyAlignment="1"/>
    <xf numFmtId="0" fontId="3" fillId="3" borderId="6" xfId="4" applyBorder="1" applyAlignment="1"/>
    <xf numFmtId="0" fontId="3" fillId="3" borderId="7" xfId="4" applyBorder="1" applyAlignment="1"/>
    <xf numFmtId="0" fontId="3" fillId="3" borderId="1" xfId="4" applyBorder="1" applyAlignment="1"/>
    <xf numFmtId="0" fontId="3" fillId="3" borderId="2" xfId="4" applyBorder="1" applyAlignment="1"/>
    <xf numFmtId="0" fontId="3" fillId="3" borderId="3" xfId="4" applyBorder="1" applyAlignment="1"/>
    <xf numFmtId="0" fontId="4" fillId="24" borderId="1" xfId="5" applyFill="1" applyBorder="1"/>
    <xf numFmtId="0" fontId="4" fillId="24" borderId="2" xfId="5" applyFill="1" applyBorder="1"/>
    <xf numFmtId="0" fontId="4" fillId="24" borderId="3" xfId="5" applyFill="1" applyBorder="1"/>
    <xf numFmtId="0" fontId="4" fillId="24" borderId="4" xfId="5" applyFill="1"/>
    <xf numFmtId="0" fontId="8" fillId="5" borderId="0" xfId="0" applyFont="1" applyFill="1"/>
    <xf numFmtId="0" fontId="3" fillId="19" borderId="1" xfId="4" applyFill="1" applyBorder="1" applyAlignment="1">
      <alignment vertical="center"/>
    </xf>
    <xf numFmtId="0" fontId="3" fillId="19" borderId="2" xfId="4" applyFill="1" applyBorder="1" applyAlignment="1">
      <alignment vertical="center"/>
    </xf>
    <xf numFmtId="0" fontId="3" fillId="19" borderId="3" xfId="4" applyFill="1" applyBorder="1" applyAlignment="1">
      <alignment vertical="center"/>
    </xf>
    <xf numFmtId="0" fontId="4" fillId="6" borderId="1" xfId="6" applyBorder="1" applyAlignment="1">
      <alignment vertical="center"/>
    </xf>
    <xf numFmtId="168" fontId="4" fillId="24" borderId="1" xfId="5" applyNumberFormat="1" applyFill="1" applyBorder="1"/>
    <xf numFmtId="0" fontId="4" fillId="24" borderId="5" xfId="5" applyFill="1" applyBorder="1"/>
    <xf numFmtId="0" fontId="4" fillId="24" borderId="6" xfId="5" applyFill="1" applyBorder="1"/>
    <xf numFmtId="0" fontId="4" fillId="24" borderId="7" xfId="5" applyFill="1" applyBorder="1"/>
    <xf numFmtId="0" fontId="4" fillId="23" borderId="1" xfId="6" applyFill="1" applyBorder="1" applyAlignment="1">
      <alignment vertical="center"/>
    </xf>
    <xf numFmtId="0" fontId="4" fillId="23" borderId="2" xfId="6" applyFill="1" applyBorder="1" applyAlignment="1">
      <alignment vertical="center" wrapText="1"/>
    </xf>
    <xf numFmtId="0" fontId="4" fillId="23" borderId="3" xfId="6" applyFill="1" applyBorder="1" applyAlignment="1">
      <alignment vertical="center" wrapText="1"/>
    </xf>
    <xf numFmtId="3" fontId="6" fillId="5" borderId="0" xfId="0" applyNumberFormat="1" applyFont="1" applyFill="1"/>
    <xf numFmtId="0" fontId="4" fillId="20" borderId="0" xfId="5" applyFill="1" applyBorder="1"/>
    <xf numFmtId="0" fontId="14" fillId="5" borderId="0" xfId="9" applyBorder="1" applyAlignment="1">
      <alignment horizontal="left" vertical="center" wrapText="1"/>
    </xf>
    <xf numFmtId="170" fontId="14" fillId="5" borderId="0" xfId="9" applyNumberFormat="1" applyBorder="1" applyAlignment="1">
      <alignment horizontal="left" vertical="center" wrapText="1"/>
    </xf>
    <xf numFmtId="9" fontId="8" fillId="0" borderId="4" xfId="13" applyFont="1" applyFill="1" applyBorder="1" applyAlignment="1">
      <alignment horizontal="center" vertical="center"/>
    </xf>
    <xf numFmtId="43" fontId="6" fillId="5" borderId="0" xfId="1" applyFont="1" applyFill="1" applyBorder="1" applyAlignment="1">
      <alignment vertical="center" wrapText="1"/>
    </xf>
    <xf numFmtId="37" fontId="6" fillId="5" borderId="0" xfId="0" applyNumberFormat="1" applyFont="1" applyFill="1"/>
    <xf numFmtId="0" fontId="15" fillId="5" borderId="1" xfId="0" applyFont="1" applyFill="1" applyBorder="1" applyAlignment="1">
      <alignment horizontal="left" vertical="center" wrapText="1"/>
    </xf>
    <xf numFmtId="0" fontId="32" fillId="5" borderId="4" xfId="10" applyFont="1" applyFill="1" applyBorder="1" applyAlignment="1">
      <alignment vertical="center"/>
    </xf>
    <xf numFmtId="9" fontId="33" fillId="21" borderId="4" xfId="2" applyFont="1" applyFill="1" applyBorder="1" applyAlignment="1">
      <alignment horizontal="center" vertical="center"/>
    </xf>
    <xf numFmtId="177" fontId="14" fillId="5" borderId="0" xfId="16" applyNumberFormat="1" applyFont="1" applyFill="1"/>
    <xf numFmtId="176" fontId="12" fillId="0" borderId="4" xfId="1" applyNumberFormat="1" applyFont="1" applyFill="1" applyBorder="1" applyAlignment="1">
      <alignment horizontal="center" vertical="center"/>
    </xf>
    <xf numFmtId="3" fontId="6" fillId="14" borderId="14" xfId="0" applyNumberFormat="1" applyFont="1" applyFill="1" applyBorder="1" applyAlignment="1">
      <alignment horizontal="center" vertical="center"/>
    </xf>
    <xf numFmtId="1" fontId="6" fillId="14" borderId="4" xfId="2" applyNumberFormat="1" applyFont="1" applyFill="1" applyBorder="1" applyAlignment="1">
      <alignment horizontal="center" vertical="center"/>
    </xf>
    <xf numFmtId="0" fontId="4" fillId="6" borderId="10" xfId="6" applyBorder="1">
      <alignment horizontal="center" vertic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30" borderId="4" xfId="0" applyFont="1" applyFill="1" applyBorder="1" applyAlignment="1">
      <alignment horizontal="center" vertical="center" wrapText="1"/>
    </xf>
    <xf numFmtId="0" fontId="3" fillId="33" borderId="2" xfId="0" applyFont="1" applyFill="1" applyBorder="1" applyAlignment="1">
      <alignment horizontal="left" vertical="center"/>
    </xf>
    <xf numFmtId="0" fontId="3" fillId="33" borderId="3" xfId="0" applyFont="1" applyFill="1" applyBorder="1" applyAlignment="1">
      <alignment horizontal="left" vertical="center"/>
    </xf>
    <xf numFmtId="0" fontId="34" fillId="33" borderId="2" xfId="0" applyFont="1" applyFill="1" applyBorder="1" applyAlignment="1">
      <alignment horizontal="left" vertical="center"/>
    </xf>
    <xf numFmtId="0" fontId="23" fillId="33" borderId="1" xfId="0" applyFont="1" applyFill="1" applyBorder="1" applyAlignment="1">
      <alignment horizontal="left" vertical="center"/>
    </xf>
    <xf numFmtId="0" fontId="3" fillId="3" borderId="5" xfId="4" applyBorder="1" applyAlignment="1">
      <alignment vertical="center"/>
    </xf>
    <xf numFmtId="0" fontId="3" fillId="3" borderId="6" xfId="4" applyBorder="1" applyAlignment="1">
      <alignment vertical="center"/>
    </xf>
    <xf numFmtId="0" fontId="3" fillId="3" borderId="7" xfId="4" applyBorder="1" applyAlignment="1">
      <alignment vertical="center"/>
    </xf>
    <xf numFmtId="0" fontId="4" fillId="22" borderId="12" xfId="5" applyFill="1" applyBorder="1"/>
    <xf numFmtId="0" fontId="4" fillId="6" borderId="5" xfId="6" applyBorder="1" applyAlignment="1">
      <alignment vertical="center"/>
    </xf>
    <xf numFmtId="0" fontId="4" fillId="6" borderId="5" xfId="6" applyBorder="1">
      <alignment horizontal="center" vertical="center"/>
    </xf>
    <xf numFmtId="0" fontId="3" fillId="3" borderId="1" xfId="4" applyBorder="1" applyAlignment="1">
      <alignment vertical="center"/>
    </xf>
    <xf numFmtId="0" fontId="3" fillId="3" borderId="2" xfId="4" applyBorder="1" applyAlignment="1">
      <alignment vertical="center"/>
    </xf>
    <xf numFmtId="0" fontId="3" fillId="3" borderId="3" xfId="4" applyBorder="1" applyAlignment="1">
      <alignment vertical="center"/>
    </xf>
    <xf numFmtId="0" fontId="4" fillId="23" borderId="1" xfId="5" applyFill="1" applyBorder="1"/>
    <xf numFmtId="0" fontId="4" fillId="23" borderId="2" xfId="5" applyFill="1" applyBorder="1"/>
    <xf numFmtId="0" fontId="4" fillId="6" borderId="10" xfId="6" applyBorder="1" applyAlignment="1">
      <alignment vertical="center"/>
    </xf>
    <xf numFmtId="0" fontId="4" fillId="6" borderId="21" xfId="6" applyBorder="1">
      <alignment horizontal="center" vertical="center"/>
    </xf>
    <xf numFmtId="0" fontId="4" fillId="6" borderId="13" xfId="6" applyBorder="1">
      <alignment horizontal="center" vertical="center"/>
    </xf>
    <xf numFmtId="0" fontId="4" fillId="23" borderId="3" xfId="5" applyFill="1" applyBorder="1"/>
    <xf numFmtId="0" fontId="35" fillId="27" borderId="0" xfId="0" applyFont="1" applyFill="1"/>
    <xf numFmtId="0" fontId="9" fillId="27" borderId="0" xfId="0" applyFont="1" applyFill="1"/>
    <xf numFmtId="0" fontId="9" fillId="5" borderId="0" xfId="0" applyFont="1" applyFill="1"/>
    <xf numFmtId="0" fontId="9" fillId="0" borderId="0" xfId="0" applyFont="1"/>
    <xf numFmtId="0" fontId="4" fillId="31" borderId="4" xfId="0" applyFont="1" applyFill="1" applyBorder="1" applyAlignment="1">
      <alignment horizontal="center" vertical="center"/>
    </xf>
    <xf numFmtId="0" fontId="9" fillId="27" borderId="4" xfId="0" applyFont="1" applyFill="1" applyBorder="1" applyAlignment="1">
      <alignment horizontal="center" vertical="center" wrapText="1"/>
    </xf>
    <xf numFmtId="9" fontId="9" fillId="18" borderId="4" xfId="2" applyFont="1" applyFill="1" applyBorder="1" applyAlignment="1">
      <alignment horizontal="center" vertical="center"/>
    </xf>
    <xf numFmtId="9" fontId="9" fillId="32" borderId="4" xfId="2" applyFont="1" applyFill="1" applyBorder="1" applyAlignment="1">
      <alignment horizontal="center" vertical="center"/>
    </xf>
    <xf numFmtId="9" fontId="9" fillId="27" borderId="4" xfId="2" applyFont="1" applyFill="1" applyBorder="1" applyAlignment="1">
      <alignment horizontal="center" vertical="center"/>
    </xf>
    <xf numFmtId="9" fontId="9" fillId="0" borderId="4" xfId="2" applyFont="1" applyFill="1" applyBorder="1" applyAlignment="1">
      <alignment horizontal="center" vertical="center"/>
    </xf>
    <xf numFmtId="0" fontId="4" fillId="34" borderId="1" xfId="5" applyFill="1" applyBorder="1"/>
    <xf numFmtId="0" fontId="4" fillId="34" borderId="2" xfId="5" applyFill="1" applyBorder="1"/>
    <xf numFmtId="0" fontId="4" fillId="34" borderId="3" xfId="5" applyFill="1" applyBorder="1"/>
    <xf numFmtId="0" fontId="4" fillId="25" borderId="4" xfId="5" applyFill="1" applyAlignment="1">
      <alignment horizontal="center" vertical="center"/>
    </xf>
    <xf numFmtId="0" fontId="4" fillId="25" borderId="4" xfId="20" applyFill="1" applyAlignment="1">
      <alignment horizontal="center" vertical="center"/>
    </xf>
    <xf numFmtId="0" fontId="15" fillId="5" borderId="4" xfId="0" applyFont="1" applyFill="1" applyBorder="1" applyAlignment="1">
      <alignment horizontal="left" vertical="center" wrapText="1"/>
    </xf>
    <xf numFmtId="168" fontId="6" fillId="14" borderId="4"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0" fontId="8" fillId="5" borderId="14" xfId="0" applyFont="1" applyFill="1" applyBorder="1" applyAlignment="1">
      <alignment horizontal="left" vertical="center" wrapText="1"/>
    </xf>
    <xf numFmtId="3" fontId="8" fillId="0" borderId="14" xfId="16" applyNumberFormat="1" applyFont="1" applyBorder="1" applyAlignment="1">
      <alignment horizontal="center"/>
    </xf>
    <xf numFmtId="3" fontId="8" fillId="5" borderId="2" xfId="16" applyNumberFormat="1" applyFont="1" applyFill="1" applyBorder="1" applyAlignment="1">
      <alignment horizontal="center"/>
    </xf>
    <xf numFmtId="3" fontId="8" fillId="5" borderId="3" xfId="16" applyNumberFormat="1" applyFont="1" applyFill="1" applyBorder="1" applyAlignment="1">
      <alignment horizontal="center"/>
    </xf>
    <xf numFmtId="0" fontId="8" fillId="5" borderId="13" xfId="0" applyFont="1" applyFill="1" applyBorder="1" applyAlignment="1">
      <alignment horizontal="left" vertical="center" wrapText="1"/>
    </xf>
    <xf numFmtId="3" fontId="8" fillId="0" borderId="13" xfId="16" applyNumberFormat="1" applyFont="1" applyBorder="1" applyAlignment="1">
      <alignment horizontal="center"/>
    </xf>
    <xf numFmtId="0" fontId="22" fillId="5" borderId="0" xfId="0" applyFont="1" applyFill="1" applyAlignment="1">
      <alignment vertical="center" wrapText="1"/>
    </xf>
    <xf numFmtId="0" fontId="3" fillId="3" borderId="12" xfId="4" applyBorder="1" applyAlignment="1"/>
    <xf numFmtId="0" fontId="3" fillId="3" borderId="8" xfId="4" applyBorder="1" applyAlignment="1"/>
    <xf numFmtId="0" fontId="17" fillId="6" borderId="22" xfId="6" applyFont="1" applyBorder="1">
      <alignment horizontal="center" vertical="center"/>
    </xf>
    <xf numFmtId="0" fontId="17" fillId="6" borderId="19" xfId="6" applyFont="1" applyBorder="1">
      <alignment horizontal="center" vertical="center"/>
    </xf>
    <xf numFmtId="0" fontId="8" fillId="5" borderId="23" xfId="0" applyFont="1" applyFill="1" applyBorder="1" applyAlignment="1">
      <alignment vertical="center" wrapText="1"/>
    </xf>
    <xf numFmtId="0" fontId="17" fillId="6" borderId="17" xfId="6" applyFont="1" applyBorder="1">
      <alignment horizontal="center" vertical="center"/>
    </xf>
    <xf numFmtId="0" fontId="6" fillId="14" borderId="15" xfId="2" applyNumberFormat="1" applyFont="1" applyFill="1" applyBorder="1" applyAlignment="1" applyProtection="1">
      <alignment horizontal="center" vertical="center" wrapText="1"/>
      <protection locked="0"/>
    </xf>
    <xf numFmtId="0" fontId="8" fillId="5" borderId="16" xfId="0" applyFont="1" applyFill="1" applyBorder="1" applyAlignment="1">
      <alignment vertical="center" wrapText="1"/>
    </xf>
    <xf numFmtId="0" fontId="24" fillId="5" borderId="0" xfId="17" applyFont="1" applyFill="1" applyAlignment="1">
      <alignment horizontal="center"/>
    </xf>
    <xf numFmtId="0" fontId="6" fillId="0" borderId="26" xfId="17" applyFont="1" applyBorder="1" applyAlignment="1">
      <alignment horizontal="center" vertical="center" wrapText="1"/>
    </xf>
    <xf numFmtId="0" fontId="6" fillId="27" borderId="26" xfId="17" applyFont="1" applyFill="1" applyBorder="1" applyAlignment="1">
      <alignment horizontal="center" vertical="center" wrapText="1"/>
    </xf>
    <xf numFmtId="2" fontId="6" fillId="5" borderId="0" xfId="0" applyNumberFormat="1" applyFont="1" applyFill="1"/>
    <xf numFmtId="0" fontId="8" fillId="0" borderId="0" xfId="9" applyFont="1" applyFill="1" applyBorder="1" applyAlignment="1">
      <alignment vertical="center" wrapText="1"/>
    </xf>
    <xf numFmtId="10" fontId="8" fillId="0" borderId="0" xfId="2" applyNumberFormat="1" applyFont="1" applyFill="1" applyBorder="1" applyAlignment="1">
      <alignment vertical="center" wrapText="1"/>
    </xf>
    <xf numFmtId="0" fontId="19" fillId="0" borderId="7" xfId="7" applyFont="1" applyFill="1" applyBorder="1"/>
    <xf numFmtId="10" fontId="6" fillId="5" borderId="0" xfId="2" applyNumberFormat="1" applyFont="1" applyFill="1"/>
    <xf numFmtId="178" fontId="6" fillId="5" borderId="0" xfId="2" applyNumberFormat="1" applyFont="1" applyFill="1"/>
    <xf numFmtId="178" fontId="6" fillId="5" borderId="0" xfId="0" applyNumberFormat="1" applyFont="1" applyFill="1"/>
    <xf numFmtId="179" fontId="6" fillId="5" borderId="0" xfId="2" applyNumberFormat="1" applyFont="1" applyFill="1"/>
    <xf numFmtId="180" fontId="6" fillId="5" borderId="0" xfId="2" applyNumberFormat="1" applyFont="1" applyFill="1"/>
    <xf numFmtId="10" fontId="6" fillId="5" borderId="0" xfId="0" applyNumberFormat="1" applyFont="1" applyFill="1"/>
    <xf numFmtId="3" fontId="22" fillId="5" borderId="0" xfId="0" applyNumberFormat="1" applyFont="1" applyFill="1"/>
    <xf numFmtId="180" fontId="6" fillId="5" borderId="0" xfId="0" applyNumberFormat="1" applyFont="1" applyFill="1"/>
    <xf numFmtId="0" fontId="2" fillId="2" borderId="1" xfId="3" applyBorder="1">
      <alignment horizontal="left" vertical="center"/>
    </xf>
    <xf numFmtId="0" fontId="2" fillId="2" borderId="2" xfId="3" applyBorder="1">
      <alignment horizontal="left" vertical="center"/>
    </xf>
    <xf numFmtId="0" fontId="2" fillId="2" borderId="3" xfId="3" applyBorder="1">
      <alignment horizontal="left" vertical="center"/>
    </xf>
    <xf numFmtId="0" fontId="15" fillId="0" borderId="8" xfId="16" applyFont="1" applyBorder="1" applyAlignment="1">
      <alignment horizontal="left" vertical="center" wrapText="1"/>
    </xf>
    <xf numFmtId="9" fontId="15" fillId="5" borderId="13" xfId="2" applyFont="1" applyFill="1" applyBorder="1" applyAlignment="1">
      <alignment horizontal="center" vertical="center"/>
    </xf>
    <xf numFmtId="0" fontId="17" fillId="5" borderId="0" xfId="16" applyFont="1" applyFill="1" applyAlignment="1">
      <alignment vertical="center"/>
    </xf>
    <xf numFmtId="0" fontId="22" fillId="5" borderId="0" xfId="16" applyFont="1" applyFill="1" applyAlignment="1">
      <alignment vertical="center"/>
    </xf>
    <xf numFmtId="174" fontId="6" fillId="18" borderId="4" xfId="0" applyNumberFormat="1" applyFont="1" applyFill="1" applyBorder="1" applyAlignment="1">
      <alignment horizontal="center" vertical="center"/>
    </xf>
    <xf numFmtId="0" fontId="6" fillId="5" borderId="13" xfId="0" applyFont="1" applyFill="1" applyBorder="1" applyAlignment="1">
      <alignment horizontal="center" vertical="center" wrapText="1"/>
    </xf>
    <xf numFmtId="0" fontId="4" fillId="22" borderId="11" xfId="5" applyFill="1" applyBorder="1"/>
    <xf numFmtId="0" fontId="4" fillId="23" borderId="0" xfId="6" applyFill="1" applyBorder="1" applyAlignment="1">
      <alignment vertical="center" wrapText="1"/>
    </xf>
    <xf numFmtId="0" fontId="4" fillId="23" borderId="9" xfId="6" applyFill="1" applyBorder="1" applyAlignment="1">
      <alignment vertical="center" wrapText="1"/>
    </xf>
    <xf numFmtId="0" fontId="4" fillId="23" borderId="12" xfId="6" applyFill="1" applyBorder="1" applyAlignment="1">
      <alignment vertical="center" wrapText="1"/>
    </xf>
    <xf numFmtId="0" fontId="4" fillId="23" borderId="11" xfId="6" applyFill="1" applyBorder="1" applyAlignment="1">
      <alignment vertical="center" wrapText="1"/>
    </xf>
    <xf numFmtId="0" fontId="4" fillId="22" borderId="0" xfId="5" applyFill="1" applyBorder="1"/>
    <xf numFmtId="0" fontId="23" fillId="2" borderId="6" xfId="6" applyFont="1" applyFill="1" applyBorder="1" applyAlignment="1">
      <alignment vertical="center" wrapText="1"/>
    </xf>
    <xf numFmtId="0" fontId="23" fillId="2" borderId="7" xfId="6" applyFont="1" applyFill="1" applyBorder="1" applyAlignment="1">
      <alignment vertical="center" wrapText="1"/>
    </xf>
    <xf numFmtId="0" fontId="8" fillId="0" borderId="8" xfId="8" applyFont="1" applyBorder="1" applyAlignment="1">
      <alignment vertical="center" wrapText="1"/>
    </xf>
    <xf numFmtId="175" fontId="12" fillId="0" borderId="13" xfId="1" applyNumberFormat="1" applyFont="1" applyFill="1" applyBorder="1" applyAlignment="1">
      <alignment horizontal="center" vertical="center"/>
    </xf>
    <xf numFmtId="3" fontId="8" fillId="5" borderId="0" xfId="2" applyNumberFormat="1" applyFont="1" applyFill="1" applyBorder="1" applyAlignment="1">
      <alignment horizontal="center" vertical="center"/>
    </xf>
    <xf numFmtId="9" fontId="8" fillId="15" borderId="14" xfId="2" applyFont="1" applyFill="1" applyBorder="1" applyAlignment="1">
      <alignment horizontal="center" vertical="center"/>
    </xf>
    <xf numFmtId="0" fontId="23" fillId="2" borderId="5" xfId="6" applyFont="1" applyFill="1" applyBorder="1" applyAlignment="1">
      <alignment vertical="center"/>
    </xf>
    <xf numFmtId="3" fontId="8" fillId="5" borderId="1" xfId="2" applyNumberFormat="1" applyFont="1" applyFill="1" applyBorder="1" applyAlignment="1">
      <alignment horizontal="center" vertical="center"/>
    </xf>
    <xf numFmtId="3" fontId="8" fillId="5" borderId="2" xfId="2" applyNumberFormat="1" applyFont="1" applyFill="1" applyBorder="1" applyAlignment="1">
      <alignment horizontal="center" vertical="center"/>
    </xf>
    <xf numFmtId="3" fontId="8" fillId="5" borderId="3" xfId="2" applyNumberFormat="1" applyFont="1" applyFill="1" applyBorder="1" applyAlignment="1">
      <alignment horizontal="center" vertical="center"/>
    </xf>
    <xf numFmtId="0" fontId="4" fillId="22" borderId="10" xfId="5" applyFill="1" applyBorder="1"/>
    <xf numFmtId="9" fontId="12" fillId="14" borderId="13" xfId="2" applyFont="1" applyFill="1" applyBorder="1" applyAlignment="1">
      <alignment horizontal="center" vertical="center"/>
    </xf>
    <xf numFmtId="3" fontId="6" fillId="8" borderId="13" xfId="0" applyNumberFormat="1" applyFont="1" applyFill="1" applyBorder="1" applyAlignment="1">
      <alignment horizontal="center" vertical="center"/>
    </xf>
    <xf numFmtId="9" fontId="12" fillId="0" borderId="13" xfId="2" applyFont="1" applyFill="1" applyBorder="1" applyAlignment="1">
      <alignment horizontal="center" vertical="center"/>
    </xf>
    <xf numFmtId="0" fontId="4" fillId="25" borderId="25" xfId="20" applyFill="1" applyBorder="1" applyAlignment="1">
      <alignment horizontal="center" vertical="center"/>
    </xf>
    <xf numFmtId="0" fontId="4" fillId="25" borderId="5" xfId="20" applyFill="1" applyBorder="1" applyAlignment="1">
      <alignment horizontal="center" vertical="center"/>
    </xf>
    <xf numFmtId="0" fontId="4" fillId="25" borderId="14" xfId="20" applyFill="1" applyBorder="1" applyAlignment="1">
      <alignment horizontal="center" vertical="center"/>
    </xf>
    <xf numFmtId="0" fontId="4" fillId="4" borderId="1" xfId="20" applyBorder="1" applyAlignment="1">
      <alignment vertical="center"/>
    </xf>
    <xf numFmtId="0" fontId="4" fillId="4" borderId="2" xfId="20" applyBorder="1" applyAlignment="1">
      <alignment vertical="center"/>
    </xf>
    <xf numFmtId="0" fontId="4" fillId="4" borderId="3" xfId="20" applyBorder="1" applyAlignment="1">
      <alignment vertical="center"/>
    </xf>
    <xf numFmtId="0" fontId="12" fillId="9" borderId="4" xfId="0" applyFont="1" applyFill="1" applyBorder="1" applyAlignment="1">
      <alignment horizontal="center" vertical="center"/>
    </xf>
    <xf numFmtId="0" fontId="12" fillId="0" borderId="4" xfId="0" applyFont="1" applyBorder="1" applyAlignment="1">
      <alignment horizontal="center" vertical="center"/>
    </xf>
    <xf numFmtId="3" fontId="12" fillId="7" borderId="4" xfId="0" applyNumberFormat="1" applyFont="1" applyFill="1" applyBorder="1" applyAlignment="1">
      <alignment horizontal="center" vertical="center"/>
    </xf>
    <xf numFmtId="0" fontId="35" fillId="21" borderId="0" xfId="0" applyFont="1" applyFill="1" applyAlignment="1">
      <alignment vertical="center"/>
    </xf>
    <xf numFmtId="0" fontId="35" fillId="27" borderId="0" xfId="0" applyFont="1" applyFill="1" applyAlignment="1">
      <alignment vertical="center"/>
    </xf>
    <xf numFmtId="0" fontId="14" fillId="27" borderId="0" xfId="0" applyFont="1" applyFill="1"/>
    <xf numFmtId="0" fontId="13" fillId="9" borderId="24" xfId="0" applyFont="1" applyFill="1" applyBorder="1" applyAlignment="1">
      <alignment horizontal="left" vertical="center"/>
    </xf>
    <xf numFmtId="0" fontId="6" fillId="9" borderId="24" xfId="0" applyFont="1" applyFill="1" applyBorder="1" applyAlignment="1">
      <alignment horizontal="left" vertical="center"/>
    </xf>
    <xf numFmtId="0" fontId="13" fillId="0" borderId="24" xfId="0" applyFont="1" applyBorder="1" applyAlignment="1">
      <alignment horizontal="left" vertical="center"/>
    </xf>
    <xf numFmtId="0" fontId="6" fillId="0" borderId="24" xfId="0" applyFont="1" applyBorder="1" applyAlignment="1">
      <alignment horizontal="left" vertical="center"/>
    </xf>
    <xf numFmtId="0" fontId="12" fillId="21" borderId="0" xfId="0" applyFont="1" applyFill="1" applyAlignment="1">
      <alignment vertical="center"/>
    </xf>
    <xf numFmtId="0" fontId="12" fillId="27" borderId="0" xfId="0" applyFont="1" applyFill="1" applyAlignment="1">
      <alignment vertical="center"/>
    </xf>
    <xf numFmtId="0" fontId="6" fillId="27" borderId="0" xfId="0" applyFont="1" applyFill="1"/>
    <xf numFmtId="0" fontId="6" fillId="36" borderId="24" xfId="0" applyFont="1" applyFill="1" applyBorder="1" applyAlignment="1">
      <alignment horizontal="left" vertical="center"/>
    </xf>
    <xf numFmtId="0" fontId="6" fillId="7" borderId="24" xfId="0" applyFont="1" applyFill="1" applyBorder="1" applyAlignment="1">
      <alignment horizontal="left" vertical="center"/>
    </xf>
    <xf numFmtId="0" fontId="6" fillId="7" borderId="24" xfId="0" applyFont="1" applyFill="1" applyBorder="1" applyAlignment="1">
      <alignment horizontal="left" vertical="center" wrapText="1"/>
    </xf>
    <xf numFmtId="0" fontId="30" fillId="7" borderId="24" xfId="7" applyFont="1" applyFill="1" applyBorder="1" applyAlignment="1" applyProtection="1">
      <alignment vertical="center"/>
    </xf>
    <xf numFmtId="0" fontId="19" fillId="7" borderId="24" xfId="7" applyFont="1" applyFill="1" applyBorder="1" applyAlignment="1" applyProtection="1">
      <alignment vertical="center"/>
    </xf>
    <xf numFmtId="0" fontId="20" fillId="5" borderId="0" xfId="0" applyFont="1" applyFill="1" applyAlignment="1">
      <alignment horizontal="left" vertical="center" wrapText="1"/>
    </xf>
    <xf numFmtId="10" fontId="8" fillId="5" borderId="0" xfId="2" applyNumberFormat="1" applyFont="1" applyFill="1" applyBorder="1" applyAlignment="1">
      <alignment vertical="center" wrapText="1"/>
    </xf>
    <xf numFmtId="3" fontId="8" fillId="14" borderId="4" xfId="0" applyNumberFormat="1" applyFont="1" applyFill="1" applyBorder="1" applyAlignment="1">
      <alignment horizontal="center" vertical="center"/>
    </xf>
    <xf numFmtId="0" fontId="6" fillId="5" borderId="0" xfId="9" quotePrefix="1" applyFont="1" applyBorder="1" applyAlignment="1">
      <alignment vertical="center" wrapText="1"/>
    </xf>
    <xf numFmtId="0" fontId="4" fillId="6" borderId="1" xfId="6" applyBorder="1">
      <alignment horizontal="center" vertical="center"/>
    </xf>
    <xf numFmtId="0" fontId="4" fillId="6" borderId="2" xfId="6" applyBorder="1">
      <alignment horizontal="center" vertical="center"/>
    </xf>
    <xf numFmtId="0" fontId="4" fillId="6" borderId="3" xfId="6" applyBorder="1">
      <alignment horizontal="center" vertical="center"/>
    </xf>
    <xf numFmtId="0" fontId="2" fillId="2" borderId="4" xfId="3" applyBorder="1">
      <alignment horizontal="left" vertical="center"/>
    </xf>
    <xf numFmtId="0" fontId="3" fillId="3" borderId="4" xfId="4" applyBorder="1" applyAlignment="1">
      <alignment horizontal="left" vertical="center"/>
    </xf>
    <xf numFmtId="0" fontId="12" fillId="5" borderId="9"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8" xfId="0" applyFont="1" applyFill="1" applyBorder="1" applyAlignment="1">
      <alignment horizontal="left" vertical="center" wrapText="1"/>
    </xf>
    <xf numFmtId="0" fontId="6" fillId="5" borderId="12" xfId="0" applyFont="1" applyFill="1" applyBorder="1" applyAlignment="1">
      <alignment wrapText="1"/>
    </xf>
    <xf numFmtId="0" fontId="6" fillId="5" borderId="0" xfId="0" applyFont="1" applyFill="1" applyAlignment="1">
      <alignment wrapText="1"/>
    </xf>
    <xf numFmtId="0" fontId="6" fillId="14" borderId="4" xfId="0" applyFont="1" applyFill="1" applyBorder="1" applyAlignment="1">
      <alignment horizontal="center"/>
    </xf>
    <xf numFmtId="0" fontId="6" fillId="8" borderId="4" xfId="0" applyFont="1" applyFill="1" applyBorder="1" applyAlignment="1">
      <alignment horizontal="center"/>
    </xf>
    <xf numFmtId="0" fontId="6" fillId="0" borderId="4" xfId="0" applyFont="1" applyBorder="1" applyAlignment="1">
      <alignment horizontal="center"/>
    </xf>
    <xf numFmtId="0" fontId="3" fillId="35" borderId="26" xfId="0" applyFont="1" applyFill="1" applyBorder="1" applyAlignment="1">
      <alignment horizontal="left" vertical="center"/>
    </xf>
    <xf numFmtId="0" fontId="24" fillId="0" borderId="27" xfId="0" applyFont="1" applyBorder="1"/>
    <xf numFmtId="0" fontId="24" fillId="0" borderId="28" xfId="0" applyFont="1" applyBorder="1"/>
    <xf numFmtId="0" fontId="4" fillId="25" borderId="29" xfId="0" applyFont="1" applyFill="1" applyBorder="1" applyAlignment="1">
      <alignment horizontal="center" vertical="center"/>
    </xf>
    <xf numFmtId="0" fontId="24" fillId="6" borderId="30" xfId="0" applyFont="1" applyFill="1" applyBorder="1"/>
    <xf numFmtId="0" fontId="4" fillId="25" borderId="26" xfId="0" applyFont="1" applyFill="1" applyBorder="1" applyAlignment="1">
      <alignment horizontal="center"/>
    </xf>
    <xf numFmtId="0" fontId="24" fillId="6" borderId="28" xfId="0" applyFont="1" applyFill="1" applyBorder="1"/>
    <xf numFmtId="0" fontId="17" fillId="13" borderId="1" xfId="0" applyFont="1" applyFill="1" applyBorder="1" applyAlignment="1">
      <alignment horizontal="left" vertical="center"/>
    </xf>
    <xf numFmtId="0" fontId="17" fillId="13" borderId="2" xfId="0" applyFont="1" applyFill="1" applyBorder="1" applyAlignment="1">
      <alignment horizontal="left" vertical="center"/>
    </xf>
    <xf numFmtId="0" fontId="17" fillId="13" borderId="3" xfId="0" applyFont="1" applyFill="1" applyBorder="1" applyAlignment="1">
      <alignment horizontal="lef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13" fillId="16" borderId="1" xfId="0" applyFont="1" applyFill="1" applyBorder="1" applyAlignment="1">
      <alignment horizontal="left"/>
    </xf>
    <xf numFmtId="0" fontId="13" fillId="16" borderId="2" xfId="0" applyFont="1" applyFill="1" applyBorder="1" applyAlignment="1">
      <alignment horizontal="left"/>
    </xf>
    <xf numFmtId="0" fontId="13" fillId="16" borderId="3" xfId="0" applyFont="1" applyFill="1" applyBorder="1" applyAlignment="1">
      <alignment horizontal="left"/>
    </xf>
    <xf numFmtId="0" fontId="13" fillId="14" borderId="1" xfId="0" applyFont="1" applyFill="1" applyBorder="1" applyAlignment="1">
      <alignment horizontal="left" vertical="center"/>
    </xf>
    <xf numFmtId="0" fontId="13" fillId="14" borderId="2" xfId="0" applyFont="1" applyFill="1" applyBorder="1" applyAlignment="1">
      <alignment horizontal="left" vertical="center"/>
    </xf>
    <xf numFmtId="0" fontId="13" fillId="14" borderId="3" xfId="0" applyFont="1" applyFill="1" applyBorder="1" applyAlignment="1">
      <alignment horizontal="left" vertical="center"/>
    </xf>
    <xf numFmtId="0" fontId="8" fillId="5" borderId="0" xfId="0" applyFont="1" applyFill="1" applyAlignment="1">
      <alignment horizontal="left" vertical="center" wrapText="1"/>
    </xf>
    <xf numFmtId="0" fontId="22" fillId="5" borderId="0" xfId="0" applyFont="1" applyFill="1" applyAlignment="1">
      <alignment horizontal="left" vertical="center" wrapText="1"/>
    </xf>
    <xf numFmtId="0" fontId="6" fillId="5" borderId="0" xfId="9" applyFont="1" applyBorder="1" applyAlignment="1">
      <alignment horizontal="left" wrapText="1"/>
    </xf>
    <xf numFmtId="0" fontId="24" fillId="5" borderId="4" xfId="6" applyFont="1" applyFill="1" applyAlignment="1">
      <alignment horizontal="center" vertical="center" wrapText="1"/>
    </xf>
    <xf numFmtId="0" fontId="4" fillId="6" borderId="4" xfId="6" applyAlignment="1">
      <alignment horizontal="center" vertical="center" wrapText="1"/>
    </xf>
    <xf numFmtId="0" fontId="24" fillId="5" borderId="13" xfId="6" applyFont="1" applyFill="1" applyBorder="1" applyAlignment="1">
      <alignment horizontal="center" vertical="center" wrapText="1"/>
    </xf>
    <xf numFmtId="0" fontId="24" fillId="5" borderId="21" xfId="6" applyFont="1" applyFill="1" applyBorder="1" applyAlignment="1">
      <alignment horizontal="center" vertical="center" wrapText="1"/>
    </xf>
    <xf numFmtId="0" fontId="24" fillId="5" borderId="14" xfId="6" applyFont="1" applyFill="1" applyBorder="1" applyAlignment="1">
      <alignment horizontal="center" vertical="center" wrapText="1"/>
    </xf>
    <xf numFmtId="0" fontId="4" fillId="6" borderId="4" xfId="6">
      <alignment horizontal="center" vertical="center"/>
    </xf>
    <xf numFmtId="0" fontId="6" fillId="5" borderId="0" xfId="9" applyFont="1" applyBorder="1" applyAlignment="1">
      <alignment horizontal="left" vertical="center" wrapText="1"/>
    </xf>
    <xf numFmtId="0" fontId="22" fillId="5" borderId="0" xfId="9" applyFont="1" applyBorder="1" applyAlignment="1">
      <alignment horizontal="left" vertical="center" wrapText="1"/>
    </xf>
    <xf numFmtId="0" fontId="3" fillId="19" borderId="1" xfId="4" applyFill="1" applyBorder="1" applyAlignment="1">
      <alignment horizontal="left" vertical="center"/>
    </xf>
    <xf numFmtId="0" fontId="3" fillId="19" borderId="2" xfId="4" applyFill="1" applyBorder="1" applyAlignment="1">
      <alignment horizontal="left" vertical="center"/>
    </xf>
    <xf numFmtId="0" fontId="3" fillId="19" borderId="3" xfId="4" applyFill="1" applyBorder="1" applyAlignment="1">
      <alignment horizontal="left" vertical="center"/>
    </xf>
    <xf numFmtId="0" fontId="2" fillId="2" borderId="1" xfId="3" applyBorder="1">
      <alignment horizontal="left" vertical="center"/>
    </xf>
    <xf numFmtId="0" fontId="2" fillId="2" borderId="2" xfId="3" applyBorder="1">
      <alignment horizontal="left" vertical="center"/>
    </xf>
    <xf numFmtId="0" fontId="2" fillId="2" borderId="3" xfId="3" applyBorder="1">
      <alignment horizontal="left" vertical="center"/>
    </xf>
    <xf numFmtId="0" fontId="17" fillId="23" borderId="1" xfId="19" applyFont="1" applyFill="1" applyBorder="1" applyAlignment="1">
      <alignment horizontal="left" vertical="center"/>
    </xf>
    <xf numFmtId="0" fontId="17" fillId="23" borderId="2" xfId="19" applyFont="1" applyFill="1" applyBorder="1" applyAlignment="1">
      <alignment horizontal="left" vertical="center"/>
    </xf>
    <xf numFmtId="0" fontId="17" fillId="23" borderId="3" xfId="19" applyFont="1" applyFill="1" applyBorder="1" applyAlignment="1">
      <alignment horizontal="left" vertical="center"/>
    </xf>
    <xf numFmtId="0" fontId="6" fillId="0" borderId="4" xfId="0" applyFont="1" applyBorder="1" applyAlignment="1">
      <alignment horizontal="center" vertical="center" wrapText="1"/>
    </xf>
    <xf numFmtId="0" fontId="6" fillId="5" borderId="4" xfId="0" applyFont="1" applyFill="1" applyBorder="1" applyAlignment="1">
      <alignment horizontal="center" vertical="center" wrapText="1"/>
    </xf>
    <xf numFmtId="0" fontId="19" fillId="0" borderId="4" xfId="7" applyFont="1" applyBorder="1" applyAlignment="1">
      <alignment horizontal="center" vertical="center" wrapText="1"/>
    </xf>
    <xf numFmtId="0" fontId="19" fillId="0" borderId="8" xfId="7" applyFont="1" applyBorder="1" applyAlignment="1">
      <alignment horizontal="center" vertical="center" wrapText="1"/>
    </xf>
    <xf numFmtId="0" fontId="19" fillId="0" borderId="9" xfId="7" applyFont="1" applyBorder="1" applyAlignment="1">
      <alignment horizontal="center" vertical="center" wrapText="1"/>
    </xf>
    <xf numFmtId="0" fontId="19" fillId="0" borderId="10" xfId="7" applyFont="1" applyBorder="1" applyAlignment="1">
      <alignment horizontal="center" vertical="center" wrapText="1"/>
    </xf>
    <xf numFmtId="0" fontId="19" fillId="0" borderId="11" xfId="7" applyFont="1" applyBorder="1" applyAlignment="1">
      <alignment horizontal="center" vertical="center" wrapText="1"/>
    </xf>
    <xf numFmtId="0" fontId="19" fillId="0" borderId="5" xfId="7" applyFont="1" applyBorder="1" applyAlignment="1">
      <alignment horizontal="center" vertical="center" wrapText="1"/>
    </xf>
    <xf numFmtId="0" fontId="19" fillId="0" borderId="7" xfId="7" applyFont="1" applyBorder="1" applyAlignment="1">
      <alignment horizontal="center" vertical="center" wrapText="1"/>
    </xf>
    <xf numFmtId="0" fontId="4" fillId="29" borderId="1" xfId="19" applyFill="1" applyBorder="1" applyAlignment="1">
      <alignment horizontal="left" vertical="center"/>
    </xf>
    <xf numFmtId="0" fontId="4" fillId="29" borderId="2" xfId="19" applyFill="1" applyBorder="1" applyAlignment="1">
      <alignment horizontal="left" vertical="center"/>
    </xf>
    <xf numFmtId="0" fontId="4" fillId="29" borderId="3" xfId="19" applyFill="1" applyBorder="1" applyAlignment="1">
      <alignment horizontal="left" vertical="center"/>
    </xf>
    <xf numFmtId="0" fontId="17" fillId="6" borderId="1" xfId="19" applyFont="1" applyBorder="1">
      <alignment horizontal="center" vertical="center"/>
    </xf>
    <xf numFmtId="0" fontId="17" fillId="6" borderId="2" xfId="19" applyFont="1" applyBorder="1">
      <alignment horizontal="center" vertical="center"/>
    </xf>
    <xf numFmtId="0" fontId="17" fillId="6" borderId="3" xfId="19" applyFont="1" applyBorder="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8" fillId="5" borderId="12" xfId="9" applyFont="1" applyBorder="1" applyAlignment="1">
      <alignment vertical="center" wrapText="1"/>
    </xf>
    <xf numFmtId="0" fontId="6" fillId="0" borderId="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3" fontId="6" fillId="0" borderId="8" xfId="0" applyNumberFormat="1" applyFont="1" applyBorder="1" applyAlignment="1">
      <alignment horizontal="center" vertical="center" wrapText="1"/>
    </xf>
    <xf numFmtId="3" fontId="6" fillId="0" borderId="9"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0" fontId="19" fillId="0" borderId="12" xfId="7" applyFont="1" applyBorder="1" applyAlignment="1">
      <alignment horizontal="center" vertical="center" wrapText="1"/>
    </xf>
    <xf numFmtId="0" fontId="19" fillId="0" borderId="6" xfId="7" applyFont="1" applyBorder="1" applyAlignment="1">
      <alignment horizontal="center" vertical="center" wrapText="1"/>
    </xf>
    <xf numFmtId="3" fontId="8" fillId="0" borderId="4" xfId="0" applyNumberFormat="1" applyFont="1" applyBorder="1" applyAlignment="1">
      <alignment horizontal="center" vertical="center" wrapText="1"/>
    </xf>
    <xf numFmtId="0" fontId="23" fillId="4" borderId="1" xfId="5" applyFont="1" applyBorder="1" applyAlignment="1">
      <alignment horizontal="left"/>
    </xf>
    <xf numFmtId="0" fontId="23" fillId="4" borderId="2" xfId="5" applyFont="1" applyBorder="1" applyAlignment="1">
      <alignment horizontal="left"/>
    </xf>
    <xf numFmtId="0" fontId="23" fillId="4" borderId="3" xfId="5" applyFont="1" applyBorder="1" applyAlignment="1">
      <alignment horizontal="left"/>
    </xf>
    <xf numFmtId="0" fontId="23" fillId="4" borderId="4" xfId="20" applyFont="1" applyAlignment="1">
      <alignment horizontal="left"/>
    </xf>
    <xf numFmtId="0" fontId="4" fillId="22" borderId="4" xfId="20" applyFill="1" applyAlignment="1">
      <alignment horizontal="left"/>
    </xf>
    <xf numFmtId="0" fontId="4" fillId="22" borderId="1" xfId="5" applyFill="1" applyBorder="1"/>
    <xf numFmtId="0" fontId="4" fillId="22" borderId="2" xfId="5" applyFill="1" applyBorder="1"/>
    <xf numFmtId="0" fontId="4" fillId="22" borderId="3" xfId="5" applyFill="1" applyBorder="1"/>
    <xf numFmtId="0" fontId="15" fillId="5" borderId="1"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15" fillId="5" borderId="8" xfId="0" applyFont="1" applyFill="1" applyBorder="1" applyAlignment="1">
      <alignment horizontal="left" vertical="center" wrapText="1"/>
    </xf>
    <xf numFmtId="0" fontId="15" fillId="5" borderId="12" xfId="0" applyFont="1" applyFill="1" applyBorder="1" applyAlignment="1">
      <alignment horizontal="left" vertical="center" wrapText="1"/>
    </xf>
    <xf numFmtId="0" fontId="15" fillId="5" borderId="9" xfId="0" applyFont="1" applyFill="1" applyBorder="1" applyAlignment="1">
      <alignment horizontal="left" vertical="center" wrapText="1"/>
    </xf>
    <xf numFmtId="0" fontId="17" fillId="24" borderId="1" xfId="20" applyFont="1" applyFill="1" applyBorder="1" applyAlignment="1">
      <alignment horizontal="left"/>
    </xf>
    <xf numFmtId="0" fontId="17" fillId="24" borderId="2" xfId="20" applyFont="1" applyFill="1" applyBorder="1" applyAlignment="1">
      <alignment horizontal="left"/>
    </xf>
    <xf numFmtId="0" fontId="17" fillId="24" borderId="3" xfId="20" applyFont="1" applyFill="1" applyBorder="1" applyAlignment="1">
      <alignment horizontal="left"/>
    </xf>
    <xf numFmtId="0" fontId="4" fillId="2" borderId="1" xfId="19" applyFill="1" applyBorder="1" applyAlignment="1">
      <alignment horizontal="left" vertical="center"/>
    </xf>
    <xf numFmtId="0" fontId="4" fillId="2" borderId="2" xfId="19" applyFill="1" applyBorder="1" applyAlignment="1">
      <alignment horizontal="left" vertical="center"/>
    </xf>
    <xf numFmtId="0" fontId="4" fillId="2" borderId="3" xfId="19" applyFill="1" applyBorder="1" applyAlignment="1">
      <alignment horizontal="left" vertical="center"/>
    </xf>
    <xf numFmtId="0" fontId="4" fillId="2" borderId="4" xfId="6" applyFill="1" applyAlignment="1">
      <alignment vertical="center" wrapText="1"/>
    </xf>
    <xf numFmtId="0" fontId="8" fillId="0" borderId="4" xfId="0" applyFont="1" applyBorder="1" applyAlignment="1">
      <alignment horizontal="center" vertical="center" wrapText="1"/>
    </xf>
    <xf numFmtId="3" fontId="6" fillId="0" borderId="4"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3" xfId="0" applyNumberFormat="1" applyFont="1" applyBorder="1" applyAlignment="1">
      <alignment horizontal="center" vertical="center" wrapText="1"/>
    </xf>
    <xf numFmtId="0" fontId="6" fillId="5" borderId="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0" xfId="0" applyFont="1" applyFill="1" applyAlignment="1">
      <alignment horizontal="center" vertical="center" wrapText="1"/>
    </xf>
    <xf numFmtId="0" fontId="6" fillId="5" borderId="1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7" fillId="24" borderId="8" xfId="20" applyFont="1" applyFill="1" applyBorder="1" applyAlignment="1">
      <alignment horizontal="left"/>
    </xf>
    <xf numFmtId="0" fontId="17" fillId="24" borderId="12" xfId="20" applyFont="1" applyFill="1" applyBorder="1" applyAlignment="1">
      <alignment horizontal="left"/>
    </xf>
    <xf numFmtId="0" fontId="17" fillId="24" borderId="9" xfId="20" applyFont="1" applyFill="1" applyBorder="1" applyAlignment="1">
      <alignment horizontal="left"/>
    </xf>
    <xf numFmtId="0" fontId="8" fillId="0" borderId="1" xfId="4" applyFont="1" applyFill="1" applyBorder="1" applyAlignment="1">
      <alignment vertical="center" wrapText="1"/>
    </xf>
    <xf numFmtId="0" fontId="8" fillId="0" borderId="2" xfId="4" applyFont="1" applyFill="1" applyBorder="1" applyAlignment="1">
      <alignment vertical="center" wrapText="1"/>
    </xf>
    <xf numFmtId="0" fontId="8" fillId="0" borderId="3" xfId="4" applyFont="1" applyFill="1" applyBorder="1" applyAlignment="1">
      <alignment vertical="center" wrapText="1"/>
    </xf>
    <xf numFmtId="0" fontId="10" fillId="0" borderId="1" xfId="7" applyFill="1" applyBorder="1" applyAlignment="1">
      <alignment horizontal="center" vertical="center" wrapText="1"/>
    </xf>
    <xf numFmtId="0" fontId="19" fillId="0" borderId="3" xfId="7" applyFont="1" applyFill="1" applyBorder="1" applyAlignment="1">
      <alignment horizontal="center" vertical="center" wrapText="1"/>
    </xf>
    <xf numFmtId="0" fontId="6" fillId="0" borderId="0" xfId="0" applyFont="1" applyAlignment="1">
      <alignment horizontal="center" vertical="center" wrapText="1"/>
    </xf>
    <xf numFmtId="0" fontId="6" fillId="5" borderId="4" xfId="0" applyFont="1" applyFill="1" applyBorder="1" applyAlignment="1">
      <alignment horizontal="center" wrapText="1"/>
    </xf>
    <xf numFmtId="0" fontId="6" fillId="5" borderId="1" xfId="0" applyFont="1" applyFill="1" applyBorder="1" applyAlignment="1">
      <alignment horizontal="center" wrapText="1"/>
    </xf>
    <xf numFmtId="0" fontId="6" fillId="5" borderId="2" xfId="0" applyFont="1" applyFill="1" applyBorder="1" applyAlignment="1">
      <alignment horizontal="center" wrapText="1"/>
    </xf>
    <xf numFmtId="0" fontId="6" fillId="5" borderId="3" xfId="0" applyFont="1" applyFill="1" applyBorder="1" applyAlignment="1">
      <alignment horizontal="center" wrapText="1"/>
    </xf>
    <xf numFmtId="0" fontId="8" fillId="0" borderId="0" xfId="9" applyFont="1" applyFill="1" applyBorder="1" applyAlignment="1">
      <alignment vertical="center" wrapText="1"/>
    </xf>
    <xf numFmtId="0" fontId="8" fillId="0" borderId="0" xfId="0" applyFont="1" applyAlignment="1">
      <alignment vertical="center" wrapText="1"/>
    </xf>
    <xf numFmtId="0" fontId="8" fillId="5" borderId="0" xfId="0" applyFont="1" applyFill="1" applyAlignment="1">
      <alignment vertical="center" wrapText="1"/>
    </xf>
    <xf numFmtId="0" fontId="8" fillId="10" borderId="5" xfId="8" applyFont="1" applyFill="1" applyBorder="1" applyAlignment="1">
      <alignment horizontal="left" vertical="center" wrapText="1"/>
    </xf>
    <xf numFmtId="0" fontId="8" fillId="10" borderId="6" xfId="8" applyFont="1" applyFill="1" applyBorder="1" applyAlignment="1">
      <alignment horizontal="left" vertical="center" wrapText="1"/>
    </xf>
    <xf numFmtId="0" fontId="8" fillId="10" borderId="7" xfId="8" applyFont="1" applyFill="1" applyBorder="1" applyAlignment="1">
      <alignment horizontal="left" vertical="center" wrapText="1"/>
    </xf>
    <xf numFmtId="0" fontId="8" fillId="10" borderId="1" xfId="8" applyFont="1" applyFill="1" applyBorder="1" applyAlignment="1">
      <alignment horizontal="left" vertical="center" wrapText="1"/>
    </xf>
    <xf numFmtId="0" fontId="8" fillId="10" borderId="2" xfId="8" applyFont="1" applyFill="1" applyBorder="1" applyAlignment="1">
      <alignment horizontal="left" vertical="center" wrapText="1"/>
    </xf>
    <xf numFmtId="0" fontId="8" fillId="10" borderId="3" xfId="8" applyFont="1" applyFill="1" applyBorder="1" applyAlignment="1">
      <alignment horizontal="left" vertical="center" wrapText="1"/>
    </xf>
    <xf numFmtId="0" fontId="4" fillId="22" borderId="1" xfId="5" applyFill="1" applyBorder="1" applyAlignment="1">
      <alignment horizontal="left"/>
    </xf>
    <xf numFmtId="0" fontId="4" fillId="22" borderId="2" xfId="5" applyFill="1" applyBorder="1" applyAlignment="1">
      <alignment horizontal="left"/>
    </xf>
    <xf numFmtId="0" fontId="4" fillId="22" borderId="3" xfId="5" applyFill="1" applyBorder="1" applyAlignment="1">
      <alignment horizontal="left"/>
    </xf>
    <xf numFmtId="0" fontId="8" fillId="5" borderId="0" xfId="9" applyFont="1" applyBorder="1" applyAlignment="1">
      <alignment vertical="center" wrapText="1"/>
    </xf>
    <xf numFmtId="0" fontId="12" fillId="27" borderId="5" xfId="0" applyFont="1" applyFill="1" applyBorder="1" applyAlignment="1">
      <alignment horizontal="left" wrapText="1"/>
    </xf>
    <xf numFmtId="0" fontId="12" fillId="27" borderId="6" xfId="0" applyFont="1" applyFill="1" applyBorder="1" applyAlignment="1">
      <alignment horizontal="left" wrapText="1"/>
    </xf>
    <xf numFmtId="0" fontId="12" fillId="27" borderId="10" xfId="0" applyFont="1" applyFill="1" applyBorder="1" applyAlignment="1">
      <alignment horizontal="left" wrapText="1"/>
    </xf>
    <xf numFmtId="0" fontId="12" fillId="27" borderId="0" xfId="0" applyFont="1" applyFill="1" applyAlignment="1">
      <alignment horizontal="left" wrapText="1"/>
    </xf>
    <xf numFmtId="0" fontId="8" fillId="10" borderId="8" xfId="8" applyFont="1" applyFill="1" applyBorder="1" applyAlignment="1">
      <alignment horizontal="left" vertical="center" wrapText="1"/>
    </xf>
    <xf numFmtId="0" fontId="8" fillId="10" borderId="12" xfId="8" applyFont="1" applyFill="1" applyBorder="1" applyAlignment="1">
      <alignment horizontal="left" vertical="center" wrapText="1"/>
    </xf>
    <xf numFmtId="0" fontId="8" fillId="10" borderId="9" xfId="8" applyFont="1" applyFill="1" applyBorder="1" applyAlignment="1">
      <alignment horizontal="left" vertical="center" wrapText="1"/>
    </xf>
    <xf numFmtId="0" fontId="4" fillId="6" borderId="5" xfId="6" applyBorder="1">
      <alignment horizontal="center" vertical="center"/>
    </xf>
    <xf numFmtId="0" fontId="4" fillId="6" borderId="6" xfId="6" applyBorder="1">
      <alignment horizontal="center" vertical="center"/>
    </xf>
    <xf numFmtId="0" fontId="4" fillId="6" borderId="7" xfId="6" applyBorder="1">
      <alignment horizontal="center" vertical="center"/>
    </xf>
    <xf numFmtId="0" fontId="8" fillId="10" borderId="13" xfId="8" applyFont="1" applyFill="1" applyBorder="1" applyAlignment="1">
      <alignment horizontal="left" vertical="center" wrapText="1"/>
    </xf>
    <xf numFmtId="0" fontId="29" fillId="0" borderId="13"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14" xfId="0" applyFont="1" applyBorder="1" applyAlignment="1">
      <alignment horizontal="center" vertical="center" wrapText="1"/>
    </xf>
    <xf numFmtId="0" fontId="2" fillId="2" borderId="8" xfId="3" applyBorder="1">
      <alignment horizontal="left" vertical="center"/>
    </xf>
    <xf numFmtId="0" fontId="2" fillId="2" borderId="12" xfId="3" applyBorder="1">
      <alignment horizontal="left" vertical="center"/>
    </xf>
    <xf numFmtId="0" fontId="8" fillId="0" borderId="1" xfId="0" applyFont="1" applyBorder="1" applyAlignment="1">
      <alignment vertical="center" wrapText="1"/>
    </xf>
    <xf numFmtId="0" fontId="8" fillId="0" borderId="3" xfId="0" applyFont="1" applyBorder="1" applyAlignment="1">
      <alignment vertical="center" wrapText="1"/>
    </xf>
    <xf numFmtId="0" fontId="4" fillId="25" borderId="4" xfId="5" applyFill="1" applyAlignment="1">
      <alignment horizontal="center" vertical="center"/>
    </xf>
    <xf numFmtId="0" fontId="4" fillId="23" borderId="4" xfId="6" applyFill="1" applyAlignment="1">
      <alignment horizontal="left" vertical="center"/>
    </xf>
    <xf numFmtId="0" fontId="4" fillId="23" borderId="14" xfId="6" applyFill="1" applyBorder="1" applyAlignment="1">
      <alignment horizontal="left" vertical="center"/>
    </xf>
    <xf numFmtId="0" fontId="4" fillId="4" borderId="4" xfId="5" applyAlignment="1">
      <alignment horizontal="left" vertical="center"/>
    </xf>
    <xf numFmtId="0" fontId="6" fillId="27" borderId="4" xfId="17" applyFont="1" applyFill="1" applyBorder="1" applyAlignment="1">
      <alignment horizontal="center" vertical="center" wrapText="1"/>
    </xf>
    <xf numFmtId="0" fontId="12" fillId="9" borderId="4" xfId="17" applyFont="1" applyFill="1" applyBorder="1" applyAlignment="1">
      <alignment horizontal="center" vertical="center" wrapText="1"/>
    </xf>
    <xf numFmtId="0" fontId="12" fillId="9" borderId="13" xfId="17" applyFont="1" applyFill="1" applyBorder="1" applyAlignment="1">
      <alignment horizontal="center" vertical="center" wrapText="1"/>
    </xf>
    <xf numFmtId="0" fontId="12" fillId="9" borderId="21" xfId="17" applyFont="1" applyFill="1" applyBorder="1" applyAlignment="1">
      <alignment horizontal="center" vertical="center" wrapText="1"/>
    </xf>
    <xf numFmtId="0" fontId="12" fillId="9" borderId="14" xfId="17" applyFont="1" applyFill="1" applyBorder="1" applyAlignment="1">
      <alignment horizontal="center" vertical="center" wrapText="1"/>
    </xf>
    <xf numFmtId="0" fontId="12" fillId="9" borderId="4" xfId="0" applyFont="1" applyFill="1" applyBorder="1" applyAlignment="1">
      <alignment horizontal="center" vertical="center" wrapText="1"/>
    </xf>
    <xf numFmtId="0" fontId="23" fillId="4" borderId="14" xfId="5" applyFont="1" applyBorder="1" applyAlignment="1">
      <alignment horizontal="left" vertical="center"/>
    </xf>
    <xf numFmtId="0" fontId="23" fillId="4" borderId="4" xfId="5" applyFont="1" applyAlignment="1">
      <alignment horizontal="left" vertical="center"/>
    </xf>
    <xf numFmtId="0" fontId="19" fillId="27" borderId="8" xfId="7" applyFont="1" applyFill="1" applyBorder="1" applyAlignment="1">
      <alignment horizontal="center" vertical="center" wrapText="1"/>
    </xf>
    <xf numFmtId="0" fontId="19" fillId="27" borderId="9" xfId="7" applyFont="1" applyFill="1" applyBorder="1" applyAlignment="1">
      <alignment horizontal="center" vertical="center" wrapText="1"/>
    </xf>
    <xf numFmtId="0" fontId="19" fillId="27" borderId="10" xfId="7" applyFont="1" applyFill="1" applyBorder="1" applyAlignment="1">
      <alignment horizontal="center" vertical="center" wrapText="1"/>
    </xf>
    <xf numFmtId="0" fontId="19" fillId="27" borderId="11" xfId="7" applyFont="1" applyFill="1" applyBorder="1" applyAlignment="1">
      <alignment horizontal="center" vertical="center" wrapText="1"/>
    </xf>
    <xf numFmtId="0" fontId="19" fillId="27" borderId="5" xfId="7" applyFont="1" applyFill="1" applyBorder="1" applyAlignment="1">
      <alignment horizontal="center" vertical="center" wrapText="1"/>
    </xf>
    <xf numFmtId="0" fontId="19" fillId="27" borderId="7" xfId="7" applyFont="1" applyFill="1" applyBorder="1" applyAlignment="1">
      <alignment horizontal="center" vertical="center" wrapText="1"/>
    </xf>
    <xf numFmtId="0" fontId="19" fillId="27" borderId="1" xfId="7" applyFont="1" applyFill="1" applyBorder="1" applyAlignment="1">
      <alignment horizontal="center" vertical="center" wrapText="1"/>
    </xf>
    <xf numFmtId="0" fontId="19" fillId="27" borderId="3" xfId="7" applyFont="1" applyFill="1" applyBorder="1" applyAlignment="1">
      <alignment horizontal="center" vertical="center" wrapText="1"/>
    </xf>
    <xf numFmtId="0" fontId="19" fillId="27" borderId="4" xfId="7"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3" fillId="3" borderId="1" xfId="4" applyBorder="1" applyAlignment="1">
      <alignment horizontal="left" vertical="center"/>
    </xf>
    <xf numFmtId="0" fontId="3" fillId="3" borderId="2" xfId="4" applyBorder="1" applyAlignment="1">
      <alignment horizontal="left" vertical="center"/>
    </xf>
    <xf numFmtId="0" fontId="3" fillId="3" borderId="3" xfId="4" applyBorder="1" applyAlignment="1">
      <alignment horizontal="left" vertical="center"/>
    </xf>
    <xf numFmtId="0" fontId="4" fillId="4" borderId="1" xfId="20" applyBorder="1" applyAlignment="1">
      <alignment horizontal="left" vertical="center"/>
    </xf>
    <xf numFmtId="0" fontId="4" fillId="4" borderId="2" xfId="20" applyBorder="1" applyAlignment="1">
      <alignment horizontal="left" vertical="center"/>
    </xf>
    <xf numFmtId="0" fontId="4" fillId="4" borderId="3" xfId="20" applyBorder="1" applyAlignment="1">
      <alignment horizontal="left" vertical="center"/>
    </xf>
    <xf numFmtId="0" fontId="19" fillId="0" borderId="13" xfId="7" applyFont="1" applyBorder="1" applyAlignment="1">
      <alignment horizontal="center" vertical="center" wrapText="1"/>
    </xf>
    <xf numFmtId="0" fontId="19" fillId="0" borderId="21" xfId="7" applyFont="1" applyBorder="1" applyAlignment="1">
      <alignment horizontal="center" vertical="center" wrapText="1"/>
    </xf>
    <xf numFmtId="0" fontId="19" fillId="0" borderId="14" xfId="7" applyFont="1" applyBorder="1" applyAlignment="1">
      <alignment horizontal="center" vertical="center" wrapText="1"/>
    </xf>
  </cellXfs>
  <cellStyles count="22">
    <cellStyle name="Comma" xfId="1" builtinId="3"/>
    <cellStyle name="Comma 2" xfId="12" xr:uid="{A22448F1-7B03-4CE9-80E1-5D24D2B76581}"/>
    <cellStyle name="Comma 2 2" xfId="15" xr:uid="{471DE29A-C9EE-4A50-B623-CE7C0AB13C85}"/>
    <cellStyle name="Hyperlink" xfId="7" builtinId="8"/>
    <cellStyle name="Lotus Heading" xfId="4" xr:uid="{26D24E52-4FB4-46D6-AA7B-FF82C8B05D08}"/>
    <cellStyle name="Lotus Normal" xfId="9" xr:uid="{0F83F86A-8B56-4D6B-946E-34A76BF2C067}"/>
    <cellStyle name="Lotus Section Heading" xfId="3" xr:uid="{F8D32812-2907-45D7-B842-EDE98024EBA4}"/>
    <cellStyle name="Lotus Subheading" xfId="5" xr:uid="{95A05754-40A8-4D30-9907-CA3FF77E0ADD}"/>
    <cellStyle name="Lotus Subheading 2" xfId="20" xr:uid="{75B70819-43D9-418B-A343-7248EBEFCEF4}"/>
    <cellStyle name="Lotus Subheading2" xfId="6" xr:uid="{CDC10E64-92F1-47B8-BAFA-199D8D881D3C}"/>
    <cellStyle name="Lotus Subheading2 2" xfId="19" xr:uid="{3589680D-9C57-4041-A150-747AEDBF37D2}"/>
    <cellStyle name="Lotus Subheading2 7" xfId="11" xr:uid="{38A2017D-D2CA-47BD-90C1-F7FFFD9A0119}"/>
    <cellStyle name="Normal" xfId="0" builtinId="0"/>
    <cellStyle name="Normal 11" xfId="10" xr:uid="{647999D7-AABC-4B47-9FF2-AD51600478A1}"/>
    <cellStyle name="Normal 2" xfId="14" xr:uid="{6455C43B-7172-43BE-B1E8-9389B4CBC417}"/>
    <cellStyle name="Normal 2 8" xfId="17" xr:uid="{17E4FCBC-F357-451E-B742-EDC29964A8DD}"/>
    <cellStyle name="Normal 3" xfId="8" xr:uid="{49DFC1C5-738D-4840-B35F-9984EE18BF9C}"/>
    <cellStyle name="Normal 4" xfId="16" xr:uid="{9CF31B1B-4AF8-4B1F-86C4-4677186A85FE}"/>
    <cellStyle name="Normal 6" xfId="18" xr:uid="{0A0D6458-3183-4B31-9CF3-065B60D9C191}"/>
    <cellStyle name="Normal 7" xfId="21" xr:uid="{75CAE2A7-E9E1-4A62-A501-60C60E213629}"/>
    <cellStyle name="Percent" xfId="2" builtinId="5"/>
    <cellStyle name="Percent 2" xfId="13" xr:uid="{431AA871-2856-43BB-8E2B-C085B6B9747E}"/>
  </cellStyles>
  <dxfs count="0"/>
  <tableStyles count="0" defaultTableStyle="TableStyleMedium2" defaultPivotStyle="PivotStyleLight16"/>
  <colors>
    <mruColors>
      <color rgb="FFBCC6D0"/>
      <color rgb="FF8CC64B"/>
      <color rgb="FF87C545"/>
      <color rgb="FF427F3F"/>
      <color rgb="FF80B3C4"/>
      <color rgb="FF006689"/>
      <color rgb="FFFFFFCC"/>
      <color rgb="FFFCCCC8"/>
      <color rgb="FFB8CCE4"/>
      <color rgb="FF214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Poppins" panose="00000500000000000000" pitchFamily="2" charset="0"/>
                <a:ea typeface="+mn-ea"/>
                <a:cs typeface="Poppins" panose="00000500000000000000" pitchFamily="2" charset="0"/>
              </a:defRPr>
            </a:pPr>
            <a:r>
              <a:rPr lang="en-US"/>
              <a:t>Albuquerque MSA Business-As-Usual Emissions</a:t>
            </a:r>
          </a:p>
        </c:rich>
      </c:tx>
      <c:overlay val="0"/>
      <c:spPr>
        <a:noFill/>
        <a:ln>
          <a:noFill/>
        </a:ln>
        <a:effectLst/>
      </c:spPr>
    </c:title>
    <c:autoTitleDeleted val="0"/>
    <c:plotArea>
      <c:layout>
        <c:manualLayout>
          <c:layoutTarget val="inner"/>
          <c:xMode val="edge"/>
          <c:yMode val="edge"/>
          <c:x val="0.11169103862017248"/>
          <c:y val="9.7814862743341238E-2"/>
          <c:w val="0.87861260130945174"/>
          <c:h val="0.76933060660477492"/>
        </c:manualLayout>
      </c:layout>
      <c:areaChart>
        <c:grouping val="stacked"/>
        <c:varyColors val="0"/>
        <c:ser>
          <c:idx val="0"/>
          <c:order val="0"/>
          <c:tx>
            <c:strRef>
              <c:f>'Business As Usual'!$A$165</c:f>
              <c:strCache>
                <c:ptCount val="1"/>
                <c:pt idx="0">
                  <c:v>Building Energy</c:v>
                </c:pt>
              </c:strCache>
            </c:strRef>
          </c:tx>
          <c:spPr>
            <a:solidFill>
              <a:srgbClr val="006689"/>
            </a:solidFill>
            <a:ln>
              <a:noFill/>
            </a:ln>
            <a:effectLst/>
          </c:spPr>
          <c:cat>
            <c:numRef>
              <c:f>'Business As Usual'!$B$164:$AC$164</c:f>
              <c:numCache>
                <c:formatCode>General</c:formatCode>
                <c:ptCount val="28"/>
                <c:pt idx="0">
                  <c:v>2023</c:v>
                </c:pt>
                <c:pt idx="2">
                  <c:v>2025</c:v>
                </c:pt>
                <c:pt idx="7">
                  <c:v>2030</c:v>
                </c:pt>
                <c:pt idx="12">
                  <c:v>2035</c:v>
                </c:pt>
                <c:pt idx="17">
                  <c:v>2040</c:v>
                </c:pt>
                <c:pt idx="22">
                  <c:v>2045</c:v>
                </c:pt>
                <c:pt idx="27">
                  <c:v>2050</c:v>
                </c:pt>
              </c:numCache>
            </c:numRef>
          </c:cat>
          <c:val>
            <c:numRef>
              <c:f>'Business As Usual'!$B$165:$AC$165</c:f>
              <c:numCache>
                <c:formatCode>#,##0</c:formatCode>
                <c:ptCount val="28"/>
                <c:pt idx="0">
                  <c:v>3113205.2661262383</c:v>
                </c:pt>
                <c:pt idx="1">
                  <c:v>3054392.5504141692</c:v>
                </c:pt>
                <c:pt idx="2">
                  <c:v>2995456.5106948144</c:v>
                </c:pt>
                <c:pt idx="3">
                  <c:v>2928965.7345234482</c:v>
                </c:pt>
                <c:pt idx="4">
                  <c:v>2859965.9071416692</c:v>
                </c:pt>
                <c:pt idx="5">
                  <c:v>2788451.3465993758</c:v>
                </c:pt>
                <c:pt idx="6">
                  <c:v>2714414.7153186062</c:v>
                </c:pt>
                <c:pt idx="7">
                  <c:v>2637852.1006209934</c:v>
                </c:pt>
                <c:pt idx="8">
                  <c:v>2567782.9997244012</c:v>
                </c:pt>
                <c:pt idx="9">
                  <c:v>2494976.1493798154</c:v>
                </c:pt>
                <c:pt idx="10">
                  <c:v>2452565.8249467053</c:v>
                </c:pt>
                <c:pt idx="11">
                  <c:v>2408447.3035941171</c:v>
                </c:pt>
                <c:pt idx="12">
                  <c:v>2362634.1768073002</c:v>
                </c:pt>
                <c:pt idx="13">
                  <c:v>2309609.3646009457</c:v>
                </c:pt>
                <c:pt idx="14">
                  <c:v>2255159.1342528942</c:v>
                </c:pt>
                <c:pt idx="15">
                  <c:v>2199090.8380327937</c:v>
                </c:pt>
                <c:pt idx="16">
                  <c:v>2141190.558613155</c:v>
                </c:pt>
                <c:pt idx="17">
                  <c:v>2081450.993403211</c:v>
                </c:pt>
                <c:pt idx="18">
                  <c:v>2067430.960871232</c:v>
                </c:pt>
                <c:pt idx="19">
                  <c:v>2053451.2084827553</c:v>
                </c:pt>
                <c:pt idx="20">
                  <c:v>2039506.2968530937</c:v>
                </c:pt>
                <c:pt idx="21">
                  <c:v>2025592.8261514013</c:v>
                </c:pt>
                <c:pt idx="22">
                  <c:v>2011711.6187329413</c:v>
                </c:pt>
                <c:pt idx="23">
                  <c:v>2008648.971399128</c:v>
                </c:pt>
                <c:pt idx="24">
                  <c:v>2005584.6334763258</c:v>
                </c:pt>
                <c:pt idx="25">
                  <c:v>2002519.4266361012</c:v>
                </c:pt>
                <c:pt idx="26">
                  <c:v>1999446.01660262</c:v>
                </c:pt>
                <c:pt idx="27">
                  <c:v>1996279.5018689283</c:v>
                </c:pt>
              </c:numCache>
            </c:numRef>
          </c:val>
          <c:extLst>
            <c:ext xmlns:c16="http://schemas.microsoft.com/office/drawing/2014/chart" uri="{C3380CC4-5D6E-409C-BE32-E72D297353CC}">
              <c16:uniqueId val="{00000007-78A6-4F74-9AD9-91A49E463FAD}"/>
            </c:ext>
          </c:extLst>
        </c:ser>
        <c:ser>
          <c:idx val="1"/>
          <c:order val="1"/>
          <c:tx>
            <c:strRef>
              <c:f>'Business As Usual'!$A$166</c:f>
              <c:strCache>
                <c:ptCount val="1"/>
                <c:pt idx="0">
                  <c:v>Transportation</c:v>
                </c:pt>
              </c:strCache>
            </c:strRef>
          </c:tx>
          <c:spPr>
            <a:solidFill>
              <a:srgbClr val="80B3C4"/>
            </a:solidFill>
            <a:ln>
              <a:noFill/>
            </a:ln>
            <a:effectLst/>
          </c:spPr>
          <c:cat>
            <c:numRef>
              <c:f>'Business As Usual'!$B$164:$AC$164</c:f>
              <c:numCache>
                <c:formatCode>General</c:formatCode>
                <c:ptCount val="28"/>
                <c:pt idx="0">
                  <c:v>2023</c:v>
                </c:pt>
                <c:pt idx="2">
                  <c:v>2025</c:v>
                </c:pt>
                <c:pt idx="7">
                  <c:v>2030</c:v>
                </c:pt>
                <c:pt idx="12">
                  <c:v>2035</c:v>
                </c:pt>
                <c:pt idx="17">
                  <c:v>2040</c:v>
                </c:pt>
                <c:pt idx="22">
                  <c:v>2045</c:v>
                </c:pt>
                <c:pt idx="27">
                  <c:v>2050</c:v>
                </c:pt>
              </c:numCache>
            </c:numRef>
          </c:cat>
          <c:val>
            <c:numRef>
              <c:f>'Business As Usual'!$B$166:$AC$166</c:f>
              <c:numCache>
                <c:formatCode>#,##0</c:formatCode>
                <c:ptCount val="28"/>
                <c:pt idx="0">
                  <c:v>2169199.1952947499</c:v>
                </c:pt>
                <c:pt idx="1">
                  <c:v>2131542.4606285808</c:v>
                </c:pt>
                <c:pt idx="2">
                  <c:v>2094972.6831853155</c:v>
                </c:pt>
                <c:pt idx="3">
                  <c:v>2057844.7536041108</c:v>
                </c:pt>
                <c:pt idx="4">
                  <c:v>2020836.9951419458</c:v>
                </c:pt>
                <c:pt idx="5">
                  <c:v>1983581.4730863839</c:v>
                </c:pt>
                <c:pt idx="6">
                  <c:v>1946372.8171664178</c:v>
                </c:pt>
                <c:pt idx="7">
                  <c:v>1909573.084511722</c:v>
                </c:pt>
                <c:pt idx="8">
                  <c:v>1873601.2424087916</c:v>
                </c:pt>
                <c:pt idx="9">
                  <c:v>1838857.3675319855</c:v>
                </c:pt>
                <c:pt idx="10">
                  <c:v>1806490.1732155592</c:v>
                </c:pt>
                <c:pt idx="11">
                  <c:v>1775728.0106946917</c:v>
                </c:pt>
                <c:pt idx="12">
                  <c:v>1745818.7757866026</c:v>
                </c:pt>
                <c:pt idx="13">
                  <c:v>1719316.3341814994</c:v>
                </c:pt>
                <c:pt idx="14">
                  <c:v>1694911.3783484956</c:v>
                </c:pt>
                <c:pt idx="15">
                  <c:v>1672960.2291507584</c:v>
                </c:pt>
                <c:pt idx="16">
                  <c:v>1652455.7531589002</c:v>
                </c:pt>
                <c:pt idx="17">
                  <c:v>1634271.6632755564</c:v>
                </c:pt>
                <c:pt idx="18">
                  <c:v>1617014.9434300889</c:v>
                </c:pt>
                <c:pt idx="19">
                  <c:v>1601663.8771578849</c:v>
                </c:pt>
                <c:pt idx="20">
                  <c:v>1588360.1839624674</c:v>
                </c:pt>
                <c:pt idx="21">
                  <c:v>1576518.4032491879</c:v>
                </c:pt>
                <c:pt idx="22">
                  <c:v>1565909.010956428</c:v>
                </c:pt>
                <c:pt idx="23">
                  <c:v>1555336.0361673858</c:v>
                </c:pt>
                <c:pt idx="24">
                  <c:v>1545775.1557251369</c:v>
                </c:pt>
                <c:pt idx="25">
                  <c:v>1536854.2779323489</c:v>
                </c:pt>
                <c:pt idx="26">
                  <c:v>1528237.8629881698</c:v>
                </c:pt>
                <c:pt idx="27">
                  <c:v>1520267.768227045</c:v>
                </c:pt>
              </c:numCache>
            </c:numRef>
          </c:val>
          <c:extLst>
            <c:ext xmlns:c16="http://schemas.microsoft.com/office/drawing/2014/chart" uri="{C3380CC4-5D6E-409C-BE32-E72D297353CC}">
              <c16:uniqueId val="{00000009-78A6-4F74-9AD9-91A49E463FAD}"/>
            </c:ext>
          </c:extLst>
        </c:ser>
        <c:ser>
          <c:idx val="2"/>
          <c:order val="2"/>
          <c:tx>
            <c:strRef>
              <c:f>'Business As Usual'!$A$167</c:f>
              <c:strCache>
                <c:ptCount val="1"/>
                <c:pt idx="0">
                  <c:v>IPPU</c:v>
                </c:pt>
              </c:strCache>
            </c:strRef>
          </c:tx>
          <c:spPr>
            <a:solidFill>
              <a:srgbClr val="427F3F"/>
            </a:solidFill>
            <a:ln>
              <a:noFill/>
            </a:ln>
            <a:effectLst/>
          </c:spPr>
          <c:cat>
            <c:numRef>
              <c:f>'Business As Usual'!$B$164:$AC$164</c:f>
              <c:numCache>
                <c:formatCode>General</c:formatCode>
                <c:ptCount val="28"/>
                <c:pt idx="0">
                  <c:v>2023</c:v>
                </c:pt>
                <c:pt idx="2">
                  <c:v>2025</c:v>
                </c:pt>
                <c:pt idx="7">
                  <c:v>2030</c:v>
                </c:pt>
                <c:pt idx="12">
                  <c:v>2035</c:v>
                </c:pt>
                <c:pt idx="17">
                  <c:v>2040</c:v>
                </c:pt>
                <c:pt idx="22">
                  <c:v>2045</c:v>
                </c:pt>
                <c:pt idx="27">
                  <c:v>2050</c:v>
                </c:pt>
              </c:numCache>
            </c:numRef>
          </c:cat>
          <c:val>
            <c:numRef>
              <c:f>'Business As Usual'!$B$167:$AC$167</c:f>
              <c:numCache>
                <c:formatCode>#,##0</c:formatCode>
                <c:ptCount val="28"/>
                <c:pt idx="0">
                  <c:v>110903.37603337824</c:v>
                </c:pt>
                <c:pt idx="1">
                  <c:v>112750.00162933202</c:v>
                </c:pt>
                <c:pt idx="2">
                  <c:v>107840.93831550275</c:v>
                </c:pt>
                <c:pt idx="3">
                  <c:v>103497.47894293947</c:v>
                </c:pt>
                <c:pt idx="4">
                  <c:v>99154.019541118949</c:v>
                </c:pt>
                <c:pt idx="5">
                  <c:v>94810.560168555705</c:v>
                </c:pt>
                <c:pt idx="6">
                  <c:v>90467.100795992446</c:v>
                </c:pt>
                <c:pt idx="7">
                  <c:v>86123.641423429188</c:v>
                </c:pt>
                <c:pt idx="8">
                  <c:v>81780.182021608663</c:v>
                </c:pt>
                <c:pt idx="9">
                  <c:v>77436.722649045405</c:v>
                </c:pt>
                <c:pt idx="10">
                  <c:v>73093.263276482146</c:v>
                </c:pt>
                <c:pt idx="11">
                  <c:v>68749.803903918888</c:v>
                </c:pt>
                <c:pt idx="12">
                  <c:v>64406.344531355659</c:v>
                </c:pt>
                <c:pt idx="13">
                  <c:v>60062.885129535134</c:v>
                </c:pt>
                <c:pt idx="14">
                  <c:v>55719.425756971861</c:v>
                </c:pt>
                <c:pt idx="15">
                  <c:v>51883.333598335783</c:v>
                </c:pt>
                <c:pt idx="16">
                  <c:v>52898.068026190173</c:v>
                </c:pt>
                <c:pt idx="17">
                  <c:v>53912.802424787289</c:v>
                </c:pt>
                <c:pt idx="18">
                  <c:v>54949.197517232074</c:v>
                </c:pt>
                <c:pt idx="19">
                  <c:v>55989.010021737326</c:v>
                </c:pt>
                <c:pt idx="20">
                  <c:v>57032.261924535298</c:v>
                </c:pt>
                <c:pt idx="21">
                  <c:v>58078.975499136119</c:v>
                </c:pt>
                <c:pt idx="22">
                  <c:v>59129.173072989797</c:v>
                </c:pt>
                <c:pt idx="23">
                  <c:v>60182.877174497524</c:v>
                </c:pt>
                <c:pt idx="24">
                  <c:v>61240.110445969374</c:v>
                </c:pt>
                <c:pt idx="25">
                  <c:v>62300.895702873015</c:v>
                </c:pt>
                <c:pt idx="26">
                  <c:v>63365.255876058298</c:v>
                </c:pt>
                <c:pt idx="27">
                  <c:v>64433.214012500801</c:v>
                </c:pt>
              </c:numCache>
            </c:numRef>
          </c:val>
          <c:extLst>
            <c:ext xmlns:c16="http://schemas.microsoft.com/office/drawing/2014/chart" uri="{C3380CC4-5D6E-409C-BE32-E72D297353CC}">
              <c16:uniqueId val="{0000000B-78A6-4F74-9AD9-91A49E463FAD}"/>
            </c:ext>
          </c:extLst>
        </c:ser>
        <c:ser>
          <c:idx val="3"/>
          <c:order val="3"/>
          <c:tx>
            <c:strRef>
              <c:f>'Business As Usual'!$A$168</c:f>
              <c:strCache>
                <c:ptCount val="1"/>
                <c:pt idx="0">
                  <c:v>Waste</c:v>
                </c:pt>
              </c:strCache>
            </c:strRef>
          </c:tx>
          <c:spPr>
            <a:solidFill>
              <a:srgbClr val="8CC64B"/>
            </a:solidFill>
            <a:ln>
              <a:noFill/>
            </a:ln>
            <a:effectLst/>
          </c:spPr>
          <c:cat>
            <c:numRef>
              <c:f>'Business As Usual'!$B$164:$AC$164</c:f>
              <c:numCache>
                <c:formatCode>General</c:formatCode>
                <c:ptCount val="28"/>
                <c:pt idx="0">
                  <c:v>2023</c:v>
                </c:pt>
                <c:pt idx="2">
                  <c:v>2025</c:v>
                </c:pt>
                <c:pt idx="7">
                  <c:v>2030</c:v>
                </c:pt>
                <c:pt idx="12">
                  <c:v>2035</c:v>
                </c:pt>
                <c:pt idx="17">
                  <c:v>2040</c:v>
                </c:pt>
                <c:pt idx="22">
                  <c:v>2045</c:v>
                </c:pt>
                <c:pt idx="27">
                  <c:v>2050</c:v>
                </c:pt>
              </c:numCache>
            </c:numRef>
          </c:cat>
          <c:val>
            <c:numRef>
              <c:f>'Business As Usual'!$B$168:$AC$168</c:f>
              <c:numCache>
                <c:formatCode>#,##0</c:formatCode>
                <c:ptCount val="28"/>
                <c:pt idx="0">
                  <c:v>136912.18570696271</c:v>
                </c:pt>
                <c:pt idx="1">
                  <c:v>137304.00072087289</c:v>
                </c:pt>
                <c:pt idx="2">
                  <c:v>137695.81573478313</c:v>
                </c:pt>
                <c:pt idx="3">
                  <c:v>137978.45096782901</c:v>
                </c:pt>
                <c:pt idx="4">
                  <c:v>138261.08620087494</c:v>
                </c:pt>
                <c:pt idx="5">
                  <c:v>138543.72143392081</c:v>
                </c:pt>
                <c:pt idx="6">
                  <c:v>138826.35666696675</c:v>
                </c:pt>
                <c:pt idx="7">
                  <c:v>139108.99190001268</c:v>
                </c:pt>
                <c:pt idx="8">
                  <c:v>139262.5426281734</c:v>
                </c:pt>
                <c:pt idx="9">
                  <c:v>139416.09335633417</c:v>
                </c:pt>
                <c:pt idx="10">
                  <c:v>139569.64408449491</c:v>
                </c:pt>
                <c:pt idx="11">
                  <c:v>139723.19481265568</c:v>
                </c:pt>
                <c:pt idx="12">
                  <c:v>139876.74554081642</c:v>
                </c:pt>
                <c:pt idx="13">
                  <c:v>139888.62321095384</c:v>
                </c:pt>
                <c:pt idx="14">
                  <c:v>139900.50088109128</c:v>
                </c:pt>
                <c:pt idx="15">
                  <c:v>139912.37855122876</c:v>
                </c:pt>
                <c:pt idx="16">
                  <c:v>139924.25622136617</c:v>
                </c:pt>
                <c:pt idx="17">
                  <c:v>139936.13389150359</c:v>
                </c:pt>
                <c:pt idx="18">
                  <c:v>139854.41196654303</c:v>
                </c:pt>
                <c:pt idx="19">
                  <c:v>139772.69004158251</c:v>
                </c:pt>
                <c:pt idx="20">
                  <c:v>139690.96811662192</c:v>
                </c:pt>
                <c:pt idx="21">
                  <c:v>139609.2461916614</c:v>
                </c:pt>
                <c:pt idx="22">
                  <c:v>139527.52426670081</c:v>
                </c:pt>
                <c:pt idx="23">
                  <c:v>139354.86855789504</c:v>
                </c:pt>
                <c:pt idx="24">
                  <c:v>139182.21284908932</c:v>
                </c:pt>
                <c:pt idx="25">
                  <c:v>139009.55714028355</c:v>
                </c:pt>
                <c:pt idx="26">
                  <c:v>138836.9014314778</c:v>
                </c:pt>
                <c:pt idx="27">
                  <c:v>138664.24572267206</c:v>
                </c:pt>
              </c:numCache>
            </c:numRef>
          </c:val>
          <c:extLst>
            <c:ext xmlns:c16="http://schemas.microsoft.com/office/drawing/2014/chart" uri="{C3380CC4-5D6E-409C-BE32-E72D297353CC}">
              <c16:uniqueId val="{0000000D-78A6-4F74-9AD9-91A49E463FAD}"/>
            </c:ext>
          </c:extLst>
        </c:ser>
        <c:ser>
          <c:idx val="4"/>
          <c:order val="4"/>
          <c:tx>
            <c:strRef>
              <c:f>'Business As Usual'!$A$169</c:f>
              <c:strCache>
                <c:ptCount val="1"/>
                <c:pt idx="0">
                  <c:v>AFOLU</c:v>
                </c:pt>
              </c:strCache>
            </c:strRef>
          </c:tx>
          <c:spPr>
            <a:solidFill>
              <a:srgbClr val="BCC6D0"/>
            </a:solidFill>
            <a:ln>
              <a:noFill/>
            </a:ln>
            <a:effectLst/>
          </c:spPr>
          <c:cat>
            <c:numRef>
              <c:f>'Business As Usual'!$B$164:$AC$164</c:f>
              <c:numCache>
                <c:formatCode>General</c:formatCode>
                <c:ptCount val="28"/>
                <c:pt idx="0">
                  <c:v>2023</c:v>
                </c:pt>
                <c:pt idx="2">
                  <c:v>2025</c:v>
                </c:pt>
                <c:pt idx="7">
                  <c:v>2030</c:v>
                </c:pt>
                <c:pt idx="12">
                  <c:v>2035</c:v>
                </c:pt>
                <c:pt idx="17">
                  <c:v>2040</c:v>
                </c:pt>
                <c:pt idx="22">
                  <c:v>2045</c:v>
                </c:pt>
                <c:pt idx="27">
                  <c:v>2050</c:v>
                </c:pt>
              </c:numCache>
            </c:numRef>
          </c:cat>
          <c:val>
            <c:numRef>
              <c:f>'Business As Usual'!$B$169:$AC$169</c:f>
              <c:numCache>
                <c:formatCode>#,##0</c:formatCode>
                <c:ptCount val="28"/>
                <c:pt idx="0">
                  <c:v>-6994.4004026181337</c:v>
                </c:pt>
                <c:pt idx="1">
                  <c:v>-6994.4004026181337</c:v>
                </c:pt>
                <c:pt idx="2">
                  <c:v>-6994.4004026181337</c:v>
                </c:pt>
                <c:pt idx="3">
                  <c:v>-6994.4004026181337</c:v>
                </c:pt>
                <c:pt idx="4">
                  <c:v>-6994.4004026181337</c:v>
                </c:pt>
                <c:pt idx="5">
                  <c:v>-6994.4004026181337</c:v>
                </c:pt>
                <c:pt idx="6">
                  <c:v>-6994.4004026181337</c:v>
                </c:pt>
                <c:pt idx="7">
                  <c:v>-6994.4004026181337</c:v>
                </c:pt>
                <c:pt idx="8">
                  <c:v>-6994.4004026181337</c:v>
                </c:pt>
                <c:pt idx="9">
                  <c:v>-6994.4004026181337</c:v>
                </c:pt>
                <c:pt idx="10">
                  <c:v>-6994.4004026181337</c:v>
                </c:pt>
                <c:pt idx="11">
                  <c:v>-6994.4004026181337</c:v>
                </c:pt>
                <c:pt idx="12">
                  <c:v>-6994.4004026181337</c:v>
                </c:pt>
                <c:pt idx="13">
                  <c:v>-6994.4004026181337</c:v>
                </c:pt>
                <c:pt idx="14">
                  <c:v>-6994.4004026181337</c:v>
                </c:pt>
                <c:pt idx="15">
                  <c:v>-6994.4004026181337</c:v>
                </c:pt>
                <c:pt idx="16">
                  <c:v>-6994.4004026181337</c:v>
                </c:pt>
                <c:pt idx="17">
                  <c:v>-6994.4004026181337</c:v>
                </c:pt>
                <c:pt idx="18">
                  <c:v>-6994.4004026181337</c:v>
                </c:pt>
                <c:pt idx="19">
                  <c:v>-6994.4004026181337</c:v>
                </c:pt>
                <c:pt idx="20">
                  <c:v>-6994.4004026181337</c:v>
                </c:pt>
                <c:pt idx="21">
                  <c:v>-6994.4004026181337</c:v>
                </c:pt>
                <c:pt idx="22">
                  <c:v>-6994.4004026181337</c:v>
                </c:pt>
                <c:pt idx="23">
                  <c:v>-6994.4004026181337</c:v>
                </c:pt>
                <c:pt idx="24">
                  <c:v>-6994.4004026181337</c:v>
                </c:pt>
                <c:pt idx="25">
                  <c:v>-6994.4004026181337</c:v>
                </c:pt>
                <c:pt idx="26">
                  <c:v>-6994.4004026181337</c:v>
                </c:pt>
                <c:pt idx="27">
                  <c:v>-6994.4004026181337</c:v>
                </c:pt>
              </c:numCache>
            </c:numRef>
          </c:val>
          <c:extLst>
            <c:ext xmlns:c16="http://schemas.microsoft.com/office/drawing/2014/chart" uri="{C3380CC4-5D6E-409C-BE32-E72D297353CC}">
              <c16:uniqueId val="{0000000F-78A6-4F74-9AD9-91A49E463FAD}"/>
            </c:ext>
          </c:extLst>
        </c:ser>
        <c:dLbls>
          <c:showLegendKey val="0"/>
          <c:showVal val="0"/>
          <c:showCatName val="0"/>
          <c:showSerName val="0"/>
          <c:showPercent val="0"/>
          <c:showBubbleSize val="0"/>
        </c:dLbls>
        <c:axId val="334427680"/>
        <c:axId val="334422880"/>
      </c:areaChart>
      <c:lineChart>
        <c:grouping val="standard"/>
        <c:varyColors val="0"/>
        <c:ser>
          <c:idx val="5"/>
          <c:order val="5"/>
          <c:tx>
            <c:strRef>
              <c:f>'Business As Usual'!$A$171</c:f>
              <c:strCache>
                <c:ptCount val="1"/>
                <c:pt idx="0">
                  <c:v>Total</c:v>
                </c:pt>
              </c:strCache>
            </c:strRef>
          </c:tx>
          <c:spPr>
            <a:ln w="28575" cap="rnd">
              <a:solidFill>
                <a:sysClr val="windowText" lastClr="000000"/>
              </a:solidFill>
              <a:round/>
            </a:ln>
            <a:effectLst/>
          </c:spPr>
          <c:marker>
            <c:symbol val="none"/>
          </c:marker>
          <c:dPt>
            <c:idx val="0"/>
            <c:marker>
              <c:symbol val="auto"/>
              <c:spPr>
                <a:solidFill>
                  <a:schemeClr val="tx1"/>
                </a:solidFill>
                <a:ln>
                  <a:solidFill>
                    <a:schemeClr val="tx1"/>
                  </a:solidFill>
                </a:ln>
              </c:spPr>
            </c:marker>
            <c:bubble3D val="0"/>
            <c:extLst>
              <c:ext xmlns:c16="http://schemas.microsoft.com/office/drawing/2014/chart" uri="{C3380CC4-5D6E-409C-BE32-E72D297353CC}">
                <c16:uniqueId val="{00000002-EAC4-4F61-B0B1-B9E348723E14}"/>
              </c:ext>
            </c:extLst>
          </c:dPt>
          <c:dPt>
            <c:idx val="7"/>
            <c:marker>
              <c:symbol val="auto"/>
              <c:spPr>
                <a:solidFill>
                  <a:schemeClr val="tx1"/>
                </a:solidFill>
                <a:ln>
                  <a:solidFill>
                    <a:schemeClr val="tx1"/>
                  </a:solidFill>
                </a:ln>
              </c:spPr>
            </c:marker>
            <c:bubble3D val="0"/>
            <c:extLst>
              <c:ext xmlns:c16="http://schemas.microsoft.com/office/drawing/2014/chart" uri="{C3380CC4-5D6E-409C-BE32-E72D297353CC}">
                <c16:uniqueId val="{0000001E-A992-4AB3-A2A4-BCCA3CED031D}"/>
              </c:ext>
            </c:extLst>
          </c:dPt>
          <c:dPt>
            <c:idx val="27"/>
            <c:marker>
              <c:symbol val="auto"/>
              <c:spPr>
                <a:solidFill>
                  <a:schemeClr val="tx1"/>
                </a:solidFill>
                <a:ln>
                  <a:solidFill>
                    <a:schemeClr val="tx1"/>
                  </a:solidFill>
                </a:ln>
              </c:spPr>
            </c:marker>
            <c:bubble3D val="0"/>
            <c:extLst>
              <c:ext xmlns:c16="http://schemas.microsoft.com/office/drawing/2014/chart" uri="{C3380CC4-5D6E-409C-BE32-E72D297353CC}">
                <c16:uniqueId val="{00000000-62B4-442D-8DBE-F80330EFB529}"/>
              </c:ext>
            </c:extLst>
          </c:dPt>
          <c:dLbls>
            <c:dLbl>
              <c:idx val="0"/>
              <c:layout>
                <c:manualLayout>
                  <c:x val="-9.1029251109080271E-3"/>
                  <c:y val="-3.8679365751671066E-2"/>
                </c:manualLayout>
              </c:layout>
              <c:tx>
                <c:rich>
                  <a:bodyPr wrap="square" lIns="38100" tIns="19050" rIns="38100" bIns="19050" anchor="ctr">
                    <a:noAutofit/>
                  </a:bodyPr>
                  <a:lstStyle/>
                  <a:p>
                    <a:pPr>
                      <a:defRPr sz="1100"/>
                    </a:pPr>
                    <a:r>
                      <a:rPr lang="en-US" sz="1100"/>
                      <a:t>BAU Emissions in </a:t>
                    </a:r>
                    <a:fld id="{76072016-24A2-4374-A502-34B52C6DDF1B}" type="CATEGORYNAME">
                      <a:rPr lang="en-US" sz="1100"/>
                      <a:pPr>
                        <a:defRPr sz="1100"/>
                      </a:pPr>
                      <a:t>[CATEGORY NAME]</a:t>
                    </a:fld>
                    <a:r>
                      <a:rPr lang="en-US" sz="1100" baseline="0"/>
                      <a:t>: </a:t>
                    </a:r>
                    <a:fld id="{53634477-D4D0-460F-B1E6-E9A846F0018E}" type="VALUE">
                      <a:rPr lang="en-US" sz="1100" baseline="0"/>
                      <a:pPr>
                        <a:defRPr sz="1100"/>
                      </a:pPr>
                      <a:t>[VALUE]</a:t>
                    </a:fld>
                    <a:endParaRPr lang="en-US" sz="1100" baseline="0"/>
                  </a:p>
                </c:rich>
              </c:tx>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5938943449980231"/>
                      <c:h val="3.6483695732652616E-2"/>
                    </c:manualLayout>
                  </c15:layout>
                  <c15:dlblFieldTable/>
                  <c15:showDataLabelsRange val="0"/>
                </c:ext>
                <c:ext xmlns:c16="http://schemas.microsoft.com/office/drawing/2014/chart" uri="{C3380CC4-5D6E-409C-BE32-E72D297353CC}">
                  <c16:uniqueId val="{00000002-EAC4-4F61-B0B1-B9E348723E14}"/>
                </c:ext>
              </c:extLst>
            </c:dLbl>
            <c:dLbl>
              <c:idx val="7"/>
              <c:layout>
                <c:manualLayout>
                  <c:x val="-2.4635741805786944E-3"/>
                  <c:y val="-4.5207364400688461E-2"/>
                </c:manualLayout>
              </c:layout>
              <c:tx>
                <c:rich>
                  <a:bodyPr/>
                  <a:lstStyle/>
                  <a:p>
                    <a:r>
                      <a:rPr lang="en-US"/>
                      <a:t>BAU Emissions</a:t>
                    </a:r>
                    <a:r>
                      <a:rPr lang="en-US" baseline="0"/>
                      <a:t> in </a:t>
                    </a:r>
                    <a:fld id="{08D38D36-AC3D-4A16-B019-314C8F0943AC}" type="CATEGORYNAME">
                      <a:rPr lang="en-US"/>
                      <a:pPr/>
                      <a:t>[CATEGORY NAME]</a:t>
                    </a:fld>
                    <a:r>
                      <a:rPr lang="en-US" baseline="0"/>
                      <a:t>: </a:t>
                    </a:r>
                    <a:fld id="{8871A4D6-DC22-4D3E-A454-3B6EAD75655F}" type="VALUE">
                      <a:rPr lang="en-US" baseline="0"/>
                      <a:pPr/>
                      <a:t>[VALUE]</a:t>
                    </a:fld>
                    <a:endParaRPr lang="en-US" baseline="0"/>
                  </a:p>
                </c:rich>
              </c:tx>
              <c:showLegendKey val="0"/>
              <c:showVal val="1"/>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E-A992-4AB3-A2A4-BCCA3CED031D}"/>
                </c:ext>
              </c:extLst>
            </c:dLbl>
            <c:dLbl>
              <c:idx val="27"/>
              <c:layout>
                <c:manualLayout>
                  <c:x val="-6.0472986844450401E-3"/>
                  <c:y val="-4.7947571417668776E-2"/>
                </c:manualLayout>
              </c:layout>
              <c:tx>
                <c:rich>
                  <a:bodyPr wrap="square" lIns="38100" tIns="19050" rIns="38100" bIns="19050" anchor="ctr">
                    <a:noAutofit/>
                  </a:bodyPr>
                  <a:lstStyle/>
                  <a:p>
                    <a:pPr>
                      <a:defRPr sz="1100"/>
                    </a:pPr>
                    <a:r>
                      <a:rPr lang="en-US" sz="1100"/>
                      <a:t>BAU Emissions in </a:t>
                    </a:r>
                    <a:fld id="{C7AAD06A-A2AC-4167-B43F-27E0D6DB5CCC}" type="CATEGORYNAME">
                      <a:rPr lang="en-US" sz="1100"/>
                      <a:pPr>
                        <a:defRPr sz="1100"/>
                      </a:pPr>
                      <a:t>[CATEGORY NAME]</a:t>
                    </a:fld>
                    <a:r>
                      <a:rPr lang="en-US" sz="1100" baseline="0"/>
                      <a:t>: </a:t>
                    </a:r>
                    <a:fld id="{1A196775-8A37-464E-ADB0-179A10A92F08}" type="VALUE">
                      <a:rPr lang="en-US" sz="1100" baseline="0"/>
                      <a:pPr>
                        <a:defRPr sz="1100"/>
                      </a:pPr>
                      <a:t>[VALUE]</a:t>
                    </a:fld>
                    <a:endParaRPr lang="en-US" sz="1100" baseline="0"/>
                  </a:p>
                </c:rich>
              </c:tx>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extLst>
                <c:ext xmlns:c15="http://schemas.microsoft.com/office/drawing/2012/chart" uri="{CE6537A1-D6FC-4f65-9D91-7224C49458BB}">
                  <c15:spPr xmlns:c15="http://schemas.microsoft.com/office/drawing/2012/chart">
                    <a:prstGeom prst="rect">
                      <a:avLst/>
                    </a:prstGeom>
                  </c15:spPr>
                  <c15:layout>
                    <c:manualLayout>
                      <c:w val="0.15223789203402319"/>
                      <c:h val="3.4675401156625082E-2"/>
                    </c:manualLayout>
                  </c15:layout>
                  <c15:dlblFieldTable/>
                  <c15:showDataLabelsRange val="0"/>
                </c:ext>
                <c:ext xmlns:c16="http://schemas.microsoft.com/office/drawing/2014/chart" uri="{C3380CC4-5D6E-409C-BE32-E72D297353CC}">
                  <c16:uniqueId val="{00000000-62B4-442D-8DBE-F80330EFB529}"/>
                </c:ext>
              </c:extLst>
            </c:dLbl>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1100"/>
                </a:pPr>
                <a:endParaRPr lang="en-US"/>
              </a:p>
            </c:tx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'Business As Usual'!$I$164</c:f>
              <c:numCache>
                <c:formatCode>General</c:formatCode>
                <c:ptCount val="1"/>
                <c:pt idx="0">
                  <c:v>2030</c:v>
                </c:pt>
              </c:numCache>
            </c:numRef>
          </c:cat>
          <c:val>
            <c:numRef>
              <c:f>'Business As Usual'!$B$171:$AC$171</c:f>
              <c:numCache>
                <c:formatCode>#,##0</c:formatCode>
                <c:ptCount val="28"/>
                <c:pt idx="0">
                  <c:v>5523225.6227587108</c:v>
                </c:pt>
                <c:pt idx="1">
                  <c:v>5428994.6129903356</c:v>
                </c:pt>
                <c:pt idx="2">
                  <c:v>5328971.5475277966</c:v>
                </c:pt>
                <c:pt idx="3">
                  <c:v>5221292.0176357087</c:v>
                </c:pt>
                <c:pt idx="4">
                  <c:v>5111223.6076229904</c:v>
                </c:pt>
                <c:pt idx="5">
                  <c:v>4998392.7008856181</c:v>
                </c:pt>
                <c:pt idx="6">
                  <c:v>4883086.5895453645</c:v>
                </c:pt>
                <c:pt idx="7">
                  <c:v>4765663.4180535395</c:v>
                </c:pt>
                <c:pt idx="8">
                  <c:v>4655432.5663803564</c:v>
                </c:pt>
                <c:pt idx="9">
                  <c:v>4543691.9325145623</c:v>
                </c:pt>
                <c:pt idx="10">
                  <c:v>4464724.505120622</c:v>
                </c:pt>
                <c:pt idx="11">
                  <c:v>4385653.9126027646</c:v>
                </c:pt>
                <c:pt idx="12">
                  <c:v>4305741.6422634562</c:v>
                </c:pt>
                <c:pt idx="13">
                  <c:v>4221882.8067203155</c:v>
                </c:pt>
                <c:pt idx="14">
                  <c:v>4138696.0388368345</c:v>
                </c:pt>
                <c:pt idx="15">
                  <c:v>4056852.3789304988</c:v>
                </c:pt>
                <c:pt idx="16">
                  <c:v>3979474.2356169932</c:v>
                </c:pt>
                <c:pt idx="17">
                  <c:v>3902577.1925924402</c:v>
                </c:pt>
                <c:pt idx="18">
                  <c:v>3872255.1133824782</c:v>
                </c:pt>
                <c:pt idx="19">
                  <c:v>3843882.3853013418</c:v>
                </c:pt>
                <c:pt idx="20">
                  <c:v>3817595.3104541004</c:v>
                </c:pt>
                <c:pt idx="21">
                  <c:v>3792805.0506887683</c:v>
                </c:pt>
                <c:pt idx="22">
                  <c:v>3769282.926626442</c:v>
                </c:pt>
                <c:pt idx="23">
                  <c:v>3756528.352896288</c:v>
                </c:pt>
                <c:pt idx="24">
                  <c:v>3744787.7120939032</c:v>
                </c:pt>
                <c:pt idx="25">
                  <c:v>3733689.7570089889</c:v>
                </c:pt>
                <c:pt idx="26">
                  <c:v>3722891.6364957076</c:v>
                </c:pt>
                <c:pt idx="27">
                  <c:v>3712650.329428528</c:v>
                </c:pt>
              </c:numCache>
            </c:numRef>
          </c:val>
          <c:smooth val="0"/>
          <c:extLst>
            <c:ext xmlns:c16="http://schemas.microsoft.com/office/drawing/2014/chart" uri="{C3380CC4-5D6E-409C-BE32-E72D297353CC}">
              <c16:uniqueId val="{00000011-78A6-4F74-9AD9-91A49E463FAD}"/>
            </c:ext>
          </c:extLst>
        </c:ser>
        <c:dLbls>
          <c:showLegendKey val="0"/>
          <c:showVal val="0"/>
          <c:showCatName val="0"/>
          <c:showSerName val="0"/>
          <c:showPercent val="0"/>
          <c:showBubbleSize val="0"/>
        </c:dLbls>
        <c:marker val="1"/>
        <c:smooth val="0"/>
        <c:axId val="334427680"/>
        <c:axId val="334422880"/>
        <c:extLst>
          <c:ext xmlns:c15="http://schemas.microsoft.com/office/drawing/2012/chart" uri="{02D57815-91ED-43cb-92C2-25804820EDAC}">
            <c15:filteredLineSeries>
              <c15:ser>
                <c:idx val="6"/>
                <c:order val="6"/>
                <c:tx>
                  <c:strRef>
                    <c:extLst>
                      <c:ext uri="{02D57815-91ED-43cb-92C2-25804820EDAC}">
                        <c15:formulaRef>
                          <c15:sqref>'Business As Usual'!$A$170</c15:sqref>
                        </c15:formulaRef>
                      </c:ext>
                    </c:extLst>
                    <c:strCache>
                      <c:ptCount val="1"/>
                      <c:pt idx="0">
                        <c:v>Science-Based Targets</c:v>
                      </c:pt>
                    </c:strCache>
                  </c:strRef>
                </c:tx>
                <c:spPr>
                  <a:ln w="31750">
                    <a:solidFill>
                      <a:schemeClr val="accent4">
                        <a:lumMod val="20000"/>
                        <a:lumOff val="80000"/>
                      </a:schemeClr>
                    </a:solidFill>
                    <a:prstDash val="lgDash"/>
                  </a:ln>
                </c:spPr>
                <c:marker>
                  <c:symbol val="none"/>
                </c:marker>
                <c:dPt>
                  <c:idx val="7"/>
                  <c:marker>
                    <c:symbol val="diamond"/>
                    <c:size val="10"/>
                    <c:spPr>
                      <a:solidFill>
                        <a:schemeClr val="accent4"/>
                      </a:solidFill>
                      <a:ln>
                        <a:solidFill>
                          <a:schemeClr val="accent4"/>
                        </a:solidFill>
                      </a:ln>
                    </c:spPr>
                  </c:marker>
                  <c:bubble3D val="0"/>
                  <c:extLst>
                    <c:ext xmlns:c16="http://schemas.microsoft.com/office/drawing/2014/chart" uri="{C3380CC4-5D6E-409C-BE32-E72D297353CC}">
                      <c16:uniqueId val="{0000001C-A992-4AB3-A2A4-BCCA3CED031D}"/>
                    </c:ext>
                  </c:extLst>
                </c:dPt>
                <c:dPt>
                  <c:idx val="27"/>
                  <c:marker>
                    <c:symbol val="diamond"/>
                    <c:size val="10"/>
                    <c:spPr>
                      <a:solidFill>
                        <a:schemeClr val="accent4"/>
                      </a:solidFill>
                      <a:ln>
                        <a:solidFill>
                          <a:schemeClr val="accent4"/>
                        </a:solidFill>
                      </a:ln>
                    </c:spPr>
                  </c:marker>
                  <c:bubble3D val="0"/>
                  <c:extLst>
                    <c:ext xmlns:c16="http://schemas.microsoft.com/office/drawing/2014/chart" uri="{C3380CC4-5D6E-409C-BE32-E72D297353CC}">
                      <c16:uniqueId val="{0000001D-A992-4AB3-A2A4-BCCA3CED031D}"/>
                    </c:ext>
                  </c:extLst>
                </c:dPt>
                <c:dLbls>
                  <c:dLbl>
                    <c:idx val="0"/>
                    <c:delete val="1"/>
                    <c:extLst>
                      <c:ext uri="{CE6537A1-D6FC-4f65-9D91-7224C49458BB}"/>
                      <c:ext xmlns:c16="http://schemas.microsoft.com/office/drawing/2014/chart" uri="{C3380CC4-5D6E-409C-BE32-E72D297353CC}">
                        <c16:uniqueId val="{00000002-A992-4AB3-A2A4-BCCA3CED031D}"/>
                      </c:ext>
                    </c:extLst>
                  </c:dLbl>
                  <c:dLbl>
                    <c:idx val="1"/>
                    <c:delete val="1"/>
                    <c:extLst>
                      <c:ext uri="{CE6537A1-D6FC-4f65-9D91-7224C49458BB}"/>
                      <c:ext xmlns:c16="http://schemas.microsoft.com/office/drawing/2014/chart" uri="{C3380CC4-5D6E-409C-BE32-E72D297353CC}">
                        <c16:uniqueId val="{00000003-A992-4AB3-A2A4-BCCA3CED031D}"/>
                      </c:ext>
                    </c:extLst>
                  </c:dLbl>
                  <c:dLbl>
                    <c:idx val="2"/>
                    <c:delete val="1"/>
                    <c:extLst>
                      <c:ext uri="{CE6537A1-D6FC-4f65-9D91-7224C49458BB}"/>
                      <c:ext xmlns:c16="http://schemas.microsoft.com/office/drawing/2014/chart" uri="{C3380CC4-5D6E-409C-BE32-E72D297353CC}">
                        <c16:uniqueId val="{00000004-A992-4AB3-A2A4-BCCA3CED031D}"/>
                      </c:ext>
                    </c:extLst>
                  </c:dLbl>
                  <c:dLbl>
                    <c:idx val="3"/>
                    <c:delete val="1"/>
                    <c:extLst>
                      <c:ext uri="{CE6537A1-D6FC-4f65-9D91-7224C49458BB}"/>
                      <c:ext xmlns:c16="http://schemas.microsoft.com/office/drawing/2014/chart" uri="{C3380CC4-5D6E-409C-BE32-E72D297353CC}">
                        <c16:uniqueId val="{00000005-A992-4AB3-A2A4-BCCA3CED031D}"/>
                      </c:ext>
                    </c:extLst>
                  </c:dLbl>
                  <c:dLbl>
                    <c:idx val="4"/>
                    <c:delete val="1"/>
                    <c:extLst>
                      <c:ext uri="{CE6537A1-D6FC-4f65-9D91-7224C49458BB}"/>
                      <c:ext xmlns:c16="http://schemas.microsoft.com/office/drawing/2014/chart" uri="{C3380CC4-5D6E-409C-BE32-E72D297353CC}">
                        <c16:uniqueId val="{00000006-A992-4AB3-A2A4-BCCA3CED031D}"/>
                      </c:ext>
                    </c:extLst>
                  </c:dLbl>
                  <c:dLbl>
                    <c:idx val="5"/>
                    <c:delete val="1"/>
                    <c:extLst>
                      <c:ext uri="{CE6537A1-D6FC-4f65-9D91-7224C49458BB}"/>
                      <c:ext xmlns:c16="http://schemas.microsoft.com/office/drawing/2014/chart" uri="{C3380CC4-5D6E-409C-BE32-E72D297353CC}">
                        <c16:uniqueId val="{00000007-A992-4AB3-A2A4-BCCA3CED031D}"/>
                      </c:ext>
                    </c:extLst>
                  </c:dLbl>
                  <c:dLbl>
                    <c:idx val="6"/>
                    <c:delete val="1"/>
                    <c:extLst>
                      <c:ext uri="{CE6537A1-D6FC-4f65-9D91-7224C49458BB}"/>
                      <c:ext xmlns:c16="http://schemas.microsoft.com/office/drawing/2014/chart" uri="{C3380CC4-5D6E-409C-BE32-E72D297353CC}">
                        <c16:uniqueId val="{00000008-A992-4AB3-A2A4-BCCA3CED031D}"/>
                      </c:ext>
                    </c:extLst>
                  </c:dLbl>
                  <c:dLbl>
                    <c:idx val="7"/>
                    <c:layout>
                      <c:manualLayout>
                        <c:x val="-3.2847655741049257E-3"/>
                        <c:y val="-4.4303217112674695E-2"/>
                      </c:manualLayout>
                    </c:layout>
                    <c:tx>
                      <c:rich>
                        <a:bodyPr wrap="square" lIns="38100" tIns="19050" rIns="38100" bIns="19050" anchor="ctr">
                          <a:noAutofit/>
                        </a:bodyPr>
                        <a:lstStyle/>
                        <a:p>
                          <a:pPr>
                            <a:defRPr sz="1100"/>
                          </a:pPr>
                          <a:r>
                            <a:rPr lang="en-US" sz="1100"/>
                            <a:t>SBTi Emissions</a:t>
                          </a:r>
                          <a:r>
                            <a:rPr lang="en-US" sz="1100" baseline="0"/>
                            <a:t> in</a:t>
                          </a:r>
                          <a:r>
                            <a:rPr lang="en-US" sz="1100"/>
                            <a:t> </a:t>
                          </a:r>
                          <a:fld id="{834EC205-153A-4BAE-8229-5C81D2763F74}" type="CATEGORYNAME">
                            <a:rPr lang="en-US" sz="1100"/>
                            <a:pPr>
                              <a:defRPr sz="1100"/>
                            </a:pPr>
                            <a:t>[CATEGORY NAME]</a:t>
                          </a:fld>
                          <a:r>
                            <a:rPr lang="en-US" sz="1100" baseline="0"/>
                            <a:t>: </a:t>
                          </a:r>
                          <a:fld id="{1F120781-268A-42C4-BABF-A6BF5B540E2E}" type="VALUE">
                            <a:rPr lang="en-US" sz="1100" baseline="0"/>
                            <a:pPr>
                              <a:defRPr sz="1100"/>
                            </a:pPr>
                            <a:t>[VALUE]</a:t>
                          </a:fld>
                          <a:endParaRPr lang="en-US" sz="1100" baseline="0"/>
                        </a:p>
                      </c:rich>
                    </c:tx>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extLst>
                      <c:ext uri="{CE6537A1-D6FC-4f65-9D91-7224C49458BB}">
                        <c15:spPr xmlns:c15="http://schemas.microsoft.com/office/drawing/2012/chart">
                          <a:prstGeom prst="rect">
                            <a:avLst/>
                          </a:prstGeom>
                        </c15:spPr>
                        <c15:layout>
                          <c:manualLayout>
                            <c:w val="0.17167827273059394"/>
                            <c:h val="4.1590775248633388E-2"/>
                          </c:manualLayout>
                        </c15:layout>
                        <c15:dlblFieldTable/>
                        <c15:showDataLabelsRange val="0"/>
                      </c:ext>
                      <c:ext xmlns:c16="http://schemas.microsoft.com/office/drawing/2014/chart" uri="{C3380CC4-5D6E-409C-BE32-E72D297353CC}">
                        <c16:uniqueId val="{0000001C-A992-4AB3-A2A4-BCCA3CED031D}"/>
                      </c:ext>
                    </c:extLst>
                  </c:dLbl>
                  <c:dLbl>
                    <c:idx val="8"/>
                    <c:delete val="1"/>
                    <c:extLst>
                      <c:ext uri="{CE6537A1-D6FC-4f65-9D91-7224C49458BB}"/>
                      <c:ext xmlns:c16="http://schemas.microsoft.com/office/drawing/2014/chart" uri="{C3380CC4-5D6E-409C-BE32-E72D297353CC}">
                        <c16:uniqueId val="{00000009-A992-4AB3-A2A4-BCCA3CED031D}"/>
                      </c:ext>
                    </c:extLst>
                  </c:dLbl>
                  <c:dLbl>
                    <c:idx val="9"/>
                    <c:delete val="1"/>
                    <c:extLst>
                      <c:ext uri="{CE6537A1-D6FC-4f65-9D91-7224C49458BB}"/>
                      <c:ext xmlns:c16="http://schemas.microsoft.com/office/drawing/2014/chart" uri="{C3380CC4-5D6E-409C-BE32-E72D297353CC}">
                        <c16:uniqueId val="{0000000A-A992-4AB3-A2A4-BCCA3CED031D}"/>
                      </c:ext>
                    </c:extLst>
                  </c:dLbl>
                  <c:dLbl>
                    <c:idx val="10"/>
                    <c:delete val="1"/>
                    <c:extLst>
                      <c:ext uri="{CE6537A1-D6FC-4f65-9D91-7224C49458BB}"/>
                      <c:ext xmlns:c16="http://schemas.microsoft.com/office/drawing/2014/chart" uri="{C3380CC4-5D6E-409C-BE32-E72D297353CC}">
                        <c16:uniqueId val="{0000000B-A992-4AB3-A2A4-BCCA3CED031D}"/>
                      </c:ext>
                    </c:extLst>
                  </c:dLbl>
                  <c:dLbl>
                    <c:idx val="11"/>
                    <c:delete val="1"/>
                    <c:extLst>
                      <c:ext uri="{CE6537A1-D6FC-4f65-9D91-7224C49458BB}"/>
                      <c:ext xmlns:c16="http://schemas.microsoft.com/office/drawing/2014/chart" uri="{C3380CC4-5D6E-409C-BE32-E72D297353CC}">
                        <c16:uniqueId val="{0000000C-A992-4AB3-A2A4-BCCA3CED031D}"/>
                      </c:ext>
                    </c:extLst>
                  </c:dLbl>
                  <c:dLbl>
                    <c:idx val="12"/>
                    <c:delete val="1"/>
                    <c:extLst>
                      <c:ext uri="{CE6537A1-D6FC-4f65-9D91-7224C49458BB}"/>
                      <c:ext xmlns:c16="http://schemas.microsoft.com/office/drawing/2014/chart" uri="{C3380CC4-5D6E-409C-BE32-E72D297353CC}">
                        <c16:uniqueId val="{0000000D-A992-4AB3-A2A4-BCCA3CED031D}"/>
                      </c:ext>
                    </c:extLst>
                  </c:dLbl>
                  <c:dLbl>
                    <c:idx val="13"/>
                    <c:delete val="1"/>
                    <c:extLst>
                      <c:ext uri="{CE6537A1-D6FC-4f65-9D91-7224C49458BB}"/>
                      <c:ext xmlns:c16="http://schemas.microsoft.com/office/drawing/2014/chart" uri="{C3380CC4-5D6E-409C-BE32-E72D297353CC}">
                        <c16:uniqueId val="{0000000E-A992-4AB3-A2A4-BCCA3CED031D}"/>
                      </c:ext>
                    </c:extLst>
                  </c:dLbl>
                  <c:dLbl>
                    <c:idx val="14"/>
                    <c:delete val="1"/>
                    <c:extLst>
                      <c:ext uri="{CE6537A1-D6FC-4f65-9D91-7224C49458BB}"/>
                      <c:ext xmlns:c16="http://schemas.microsoft.com/office/drawing/2014/chart" uri="{C3380CC4-5D6E-409C-BE32-E72D297353CC}">
                        <c16:uniqueId val="{0000000F-A992-4AB3-A2A4-BCCA3CED031D}"/>
                      </c:ext>
                    </c:extLst>
                  </c:dLbl>
                  <c:dLbl>
                    <c:idx val="15"/>
                    <c:delete val="1"/>
                    <c:extLst>
                      <c:ext uri="{CE6537A1-D6FC-4f65-9D91-7224C49458BB}"/>
                      <c:ext xmlns:c16="http://schemas.microsoft.com/office/drawing/2014/chart" uri="{C3380CC4-5D6E-409C-BE32-E72D297353CC}">
                        <c16:uniqueId val="{00000010-A992-4AB3-A2A4-BCCA3CED031D}"/>
                      </c:ext>
                    </c:extLst>
                  </c:dLbl>
                  <c:dLbl>
                    <c:idx val="16"/>
                    <c:delete val="1"/>
                    <c:extLst>
                      <c:ext uri="{CE6537A1-D6FC-4f65-9D91-7224C49458BB}"/>
                      <c:ext xmlns:c16="http://schemas.microsoft.com/office/drawing/2014/chart" uri="{C3380CC4-5D6E-409C-BE32-E72D297353CC}">
                        <c16:uniqueId val="{00000011-A992-4AB3-A2A4-BCCA3CED031D}"/>
                      </c:ext>
                    </c:extLst>
                  </c:dLbl>
                  <c:dLbl>
                    <c:idx val="17"/>
                    <c:delete val="1"/>
                    <c:extLst>
                      <c:ext uri="{CE6537A1-D6FC-4f65-9D91-7224C49458BB}"/>
                      <c:ext xmlns:c16="http://schemas.microsoft.com/office/drawing/2014/chart" uri="{C3380CC4-5D6E-409C-BE32-E72D297353CC}">
                        <c16:uniqueId val="{00000012-A992-4AB3-A2A4-BCCA3CED031D}"/>
                      </c:ext>
                    </c:extLst>
                  </c:dLbl>
                  <c:dLbl>
                    <c:idx val="18"/>
                    <c:delete val="1"/>
                    <c:extLst>
                      <c:ext uri="{CE6537A1-D6FC-4f65-9D91-7224C49458BB}"/>
                      <c:ext xmlns:c16="http://schemas.microsoft.com/office/drawing/2014/chart" uri="{C3380CC4-5D6E-409C-BE32-E72D297353CC}">
                        <c16:uniqueId val="{00000013-A992-4AB3-A2A4-BCCA3CED031D}"/>
                      </c:ext>
                    </c:extLst>
                  </c:dLbl>
                  <c:dLbl>
                    <c:idx val="19"/>
                    <c:delete val="1"/>
                    <c:extLst>
                      <c:ext uri="{CE6537A1-D6FC-4f65-9D91-7224C49458BB}"/>
                      <c:ext xmlns:c16="http://schemas.microsoft.com/office/drawing/2014/chart" uri="{C3380CC4-5D6E-409C-BE32-E72D297353CC}">
                        <c16:uniqueId val="{00000014-A992-4AB3-A2A4-BCCA3CED031D}"/>
                      </c:ext>
                    </c:extLst>
                  </c:dLbl>
                  <c:dLbl>
                    <c:idx val="20"/>
                    <c:delete val="1"/>
                    <c:extLst>
                      <c:ext uri="{CE6537A1-D6FC-4f65-9D91-7224C49458BB}"/>
                      <c:ext xmlns:c16="http://schemas.microsoft.com/office/drawing/2014/chart" uri="{C3380CC4-5D6E-409C-BE32-E72D297353CC}">
                        <c16:uniqueId val="{00000015-A992-4AB3-A2A4-BCCA3CED031D}"/>
                      </c:ext>
                    </c:extLst>
                  </c:dLbl>
                  <c:dLbl>
                    <c:idx val="21"/>
                    <c:delete val="1"/>
                    <c:extLst>
                      <c:ext uri="{CE6537A1-D6FC-4f65-9D91-7224C49458BB}"/>
                      <c:ext xmlns:c16="http://schemas.microsoft.com/office/drawing/2014/chart" uri="{C3380CC4-5D6E-409C-BE32-E72D297353CC}">
                        <c16:uniqueId val="{00000016-A992-4AB3-A2A4-BCCA3CED031D}"/>
                      </c:ext>
                    </c:extLst>
                  </c:dLbl>
                  <c:dLbl>
                    <c:idx val="22"/>
                    <c:delete val="1"/>
                    <c:extLst>
                      <c:ext uri="{CE6537A1-D6FC-4f65-9D91-7224C49458BB}"/>
                      <c:ext xmlns:c16="http://schemas.microsoft.com/office/drawing/2014/chart" uri="{C3380CC4-5D6E-409C-BE32-E72D297353CC}">
                        <c16:uniqueId val="{00000017-A992-4AB3-A2A4-BCCA3CED031D}"/>
                      </c:ext>
                    </c:extLst>
                  </c:dLbl>
                  <c:dLbl>
                    <c:idx val="23"/>
                    <c:delete val="1"/>
                    <c:extLst>
                      <c:ext uri="{CE6537A1-D6FC-4f65-9D91-7224C49458BB}"/>
                      <c:ext xmlns:c16="http://schemas.microsoft.com/office/drawing/2014/chart" uri="{C3380CC4-5D6E-409C-BE32-E72D297353CC}">
                        <c16:uniqueId val="{00000018-A992-4AB3-A2A4-BCCA3CED031D}"/>
                      </c:ext>
                    </c:extLst>
                  </c:dLbl>
                  <c:dLbl>
                    <c:idx val="24"/>
                    <c:delete val="1"/>
                    <c:extLst>
                      <c:ext uri="{CE6537A1-D6FC-4f65-9D91-7224C49458BB}"/>
                      <c:ext xmlns:c16="http://schemas.microsoft.com/office/drawing/2014/chart" uri="{C3380CC4-5D6E-409C-BE32-E72D297353CC}">
                        <c16:uniqueId val="{00000019-A992-4AB3-A2A4-BCCA3CED031D}"/>
                      </c:ext>
                    </c:extLst>
                  </c:dLbl>
                  <c:dLbl>
                    <c:idx val="25"/>
                    <c:delete val="1"/>
                    <c:extLst>
                      <c:ext uri="{CE6537A1-D6FC-4f65-9D91-7224C49458BB}"/>
                      <c:ext xmlns:c16="http://schemas.microsoft.com/office/drawing/2014/chart" uri="{C3380CC4-5D6E-409C-BE32-E72D297353CC}">
                        <c16:uniqueId val="{0000001A-A992-4AB3-A2A4-BCCA3CED031D}"/>
                      </c:ext>
                    </c:extLst>
                  </c:dLbl>
                  <c:dLbl>
                    <c:idx val="26"/>
                    <c:delete val="1"/>
                    <c:extLst>
                      <c:ext uri="{CE6537A1-D6FC-4f65-9D91-7224C49458BB}"/>
                      <c:ext xmlns:c16="http://schemas.microsoft.com/office/drawing/2014/chart" uri="{C3380CC4-5D6E-409C-BE32-E72D297353CC}">
                        <c16:uniqueId val="{0000001B-A992-4AB3-A2A4-BCCA3CED031D}"/>
                      </c:ext>
                    </c:extLst>
                  </c:dLbl>
                  <c:dLbl>
                    <c:idx val="27"/>
                    <c:layout>
                      <c:manualLayout>
                        <c:x val="-2.9562890166944331E-2"/>
                        <c:y val="-8.860643422534939E-2"/>
                      </c:manualLayout>
                    </c:layout>
                    <c:tx>
                      <c:rich>
                        <a:bodyPr wrap="square" lIns="38100" tIns="19050" rIns="38100" bIns="19050" anchor="ctr">
                          <a:spAutoFit/>
                        </a:bodyPr>
                        <a:lstStyle/>
                        <a:p>
                          <a:pPr>
                            <a:defRPr sz="1100"/>
                          </a:pPr>
                          <a:r>
                            <a:rPr lang="en-US" sz="1100"/>
                            <a:t>SBTi Emissions in </a:t>
                          </a:r>
                          <a:fld id="{62D94783-F3AD-45B2-A171-173FBEE234D7}" type="CATEGORYNAME">
                            <a:rPr lang="en-US" sz="1100"/>
                            <a:pPr>
                              <a:defRPr sz="1100"/>
                            </a:pPr>
                            <a:t>[CATEGORY NAME]</a:t>
                          </a:fld>
                          <a:r>
                            <a:rPr lang="en-US" sz="1100" baseline="0"/>
                            <a:t>: </a:t>
                          </a:r>
                          <a:fld id="{63460DF6-08F9-4A04-8235-9586BCB1D90A}" type="VALUE">
                            <a:rPr lang="en-US" sz="1100" baseline="0"/>
                            <a:pPr>
                              <a:defRPr sz="1100"/>
                            </a:pPr>
                            <a:t>[VALUE]</a:t>
                          </a:fld>
                          <a:endParaRPr lang="en-US" sz="1100" baseline="0"/>
                        </a:p>
                      </c:rich>
                    </c:tx>
                    <c:spPr>
                      <a:solidFill>
                        <a:sysClr val="window" lastClr="FFFFFF"/>
                      </a:solidFill>
                      <a:ln>
                        <a:solidFill>
                          <a:sysClr val="windowText" lastClr="000000">
                            <a:lumMod val="65000"/>
                            <a:lumOff val="35000"/>
                          </a:sysClr>
                        </a:solidFill>
                      </a:ln>
                      <a:effectLst/>
                    </c:spPr>
                    <c:showLegendKey val="0"/>
                    <c:showVal val="1"/>
                    <c:showCatName val="1"/>
                    <c:showSerName val="0"/>
                    <c:showPercent val="0"/>
                    <c:showBubbleSize val="0"/>
                    <c:extLst>
                      <c:ex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D-A992-4AB3-A2A4-BCCA3CED031D}"/>
                      </c:ext>
                    </c:extLst>
                  </c:dLbl>
                  <c:spPr>
                    <a:solidFill>
                      <a:sysClr val="window" lastClr="FFFFFF"/>
                    </a:solidFill>
                    <a:ln>
                      <a:solidFill>
                        <a:sysClr val="windowText" lastClr="000000">
                          <a:lumMod val="65000"/>
                          <a:lumOff val="35000"/>
                        </a:sysClr>
                      </a:solidFill>
                    </a:ln>
                    <a:effectLst/>
                  </c:spPr>
                  <c:txPr>
                    <a:bodyPr wrap="square" lIns="38100" tIns="19050" rIns="38100" bIns="19050" anchor="ctr">
                      <a:spAutoFit/>
                    </a:bodyPr>
                    <a:lstStyle/>
                    <a:p>
                      <a:pPr>
                        <a:defRPr sz="1100"/>
                      </a:pPr>
                      <a:endParaRPr lang="en-US"/>
                    </a:p>
                  </c:txPr>
                  <c:showLegendKey val="0"/>
                  <c:showVal val="1"/>
                  <c:showCatName val="1"/>
                  <c:showSerName val="0"/>
                  <c:showPercent val="0"/>
                  <c:showBubbleSize val="0"/>
                  <c:showLeaderLines val="0"/>
                  <c:extLst>
                    <c:ext uri="{CE6537A1-D6FC-4f65-9D91-7224C49458BB}">
                      <c15:spPr xmlns:c15="http://schemas.microsoft.com/office/drawing/2012/chart">
                        <a:prstGeom prst="wedgeRectCallout">
                          <a:avLst/>
                        </a:prstGeom>
                      </c15:spPr>
                      <c15:showLeaderLines val="0"/>
                    </c:ext>
                  </c:extLst>
                </c:dLbls>
                <c:cat>
                  <c:numRef>
                    <c:extLst>
                      <c:ext uri="{02D57815-91ED-43cb-92C2-25804820EDAC}">
                        <c15:formulaRef>
                          <c15:sqref>'Business As Usual'!$I$164</c15:sqref>
                        </c15:formulaRef>
                      </c:ext>
                    </c:extLst>
                    <c:numCache>
                      <c:formatCode>General</c:formatCode>
                      <c:ptCount val="1"/>
                      <c:pt idx="0">
                        <c:v>2030</c:v>
                      </c:pt>
                    </c:numCache>
                  </c:numRef>
                </c:cat>
                <c:val>
                  <c:numRef>
                    <c:extLst>
                      <c:ext uri="{02D57815-91ED-43cb-92C2-25804820EDAC}">
                        <c15:formulaRef>
                          <c15:sqref>'Business As Usual'!$B$170:$AC$170</c15:sqref>
                        </c15:formulaRef>
                      </c:ext>
                    </c:extLst>
                    <c:numCache>
                      <c:formatCode>#,##0</c:formatCode>
                      <c:ptCount val="28"/>
                      <c:pt idx="0">
                        <c:v>5523225.6227587108</c:v>
                      </c:pt>
                      <c:pt idx="1">
                        <c:v>5267348.5504038837</c:v>
                      </c:pt>
                      <c:pt idx="2">
                        <c:v>5011471.4780490566</c:v>
                      </c:pt>
                      <c:pt idx="3">
                        <c:v>4755594.4056942305</c:v>
                      </c:pt>
                      <c:pt idx="4">
                        <c:v>4499717.3333394034</c:v>
                      </c:pt>
                      <c:pt idx="5">
                        <c:v>4243840.2609845763</c:v>
                      </c:pt>
                      <c:pt idx="6">
                        <c:v>3987963.1886297497</c:v>
                      </c:pt>
                      <c:pt idx="7">
                        <c:v>3732086.1162749226</c:v>
                      </c:pt>
                      <c:pt idx="8">
                        <c:v>3558337.0140993088</c:v>
                      </c:pt>
                      <c:pt idx="9">
                        <c:v>3384587.9119236949</c:v>
                      </c:pt>
                      <c:pt idx="10">
                        <c:v>3210838.809748081</c:v>
                      </c:pt>
                      <c:pt idx="11">
                        <c:v>3037089.7075724672</c:v>
                      </c:pt>
                      <c:pt idx="12">
                        <c:v>2863340.6053968533</c:v>
                      </c:pt>
                      <c:pt idx="13">
                        <c:v>2689591.5032212394</c:v>
                      </c:pt>
                      <c:pt idx="14">
                        <c:v>2515842.4010456256</c:v>
                      </c:pt>
                      <c:pt idx="15">
                        <c:v>2342093.2988700112</c:v>
                      </c:pt>
                      <c:pt idx="16">
                        <c:v>2168344.1966943974</c:v>
                      </c:pt>
                      <c:pt idx="17">
                        <c:v>1994595.0945187835</c:v>
                      </c:pt>
                      <c:pt idx="18">
                        <c:v>1820845.9923431696</c:v>
                      </c:pt>
                      <c:pt idx="19">
                        <c:v>1647096.8901675558</c:v>
                      </c:pt>
                      <c:pt idx="20">
                        <c:v>1473347.7879919419</c:v>
                      </c:pt>
                      <c:pt idx="21">
                        <c:v>1299598.6858163278</c:v>
                      </c:pt>
                      <c:pt idx="22">
                        <c:v>1125849.5836407137</c:v>
                      </c:pt>
                      <c:pt idx="23">
                        <c:v>952100.48146509996</c:v>
                      </c:pt>
                      <c:pt idx="24">
                        <c:v>778351.37928948598</c:v>
                      </c:pt>
                      <c:pt idx="25">
                        <c:v>604602.27711387211</c:v>
                      </c:pt>
                      <c:pt idx="26">
                        <c:v>430853.17493825819</c:v>
                      </c:pt>
                      <c:pt idx="27">
                        <c:v>257104.07276264427</c:v>
                      </c:pt>
                    </c:numCache>
                  </c:numRef>
                </c:val>
                <c:smooth val="0"/>
                <c:extLst>
                  <c:ext xmlns:c16="http://schemas.microsoft.com/office/drawing/2014/chart" uri="{C3380CC4-5D6E-409C-BE32-E72D297353CC}">
                    <c16:uniqueId val="{00000000-A992-4AB3-A2A4-BCCA3CED031D}"/>
                  </c:ext>
                </c:extLst>
              </c15:ser>
            </c15:filteredLineSeries>
          </c:ext>
        </c:extLst>
      </c:lineChart>
      <c:catAx>
        <c:axId val="334427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crossAx val="334422880"/>
        <c:crosses val="autoZero"/>
        <c:auto val="1"/>
        <c:lblAlgn val="ctr"/>
        <c:lblOffset val="100"/>
        <c:noMultiLvlLbl val="0"/>
      </c:catAx>
      <c:valAx>
        <c:axId val="334422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Poppins" panose="00000500000000000000" pitchFamily="2" charset="0"/>
                    <a:ea typeface="+mn-ea"/>
                    <a:cs typeface="Poppins" panose="00000500000000000000" pitchFamily="2" charset="0"/>
                  </a:defRPr>
                </a:pPr>
                <a:r>
                  <a:rPr lang="en-US" sz="1400"/>
                  <a:t>Metric Tons of Carbon Dioxide Equivalent</a:t>
                </a:r>
              </a:p>
            </c:rich>
          </c:tx>
          <c:overlay val="0"/>
          <c:spPr>
            <a:noFill/>
            <a:ln>
              <a:noFill/>
            </a:ln>
            <a:effectLst/>
          </c:sp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crossAx val="334427680"/>
        <c:crosses val="autoZero"/>
        <c:crossBetween val="between"/>
      </c:valAx>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ysClr val="windowText" lastClr="000000"/>
              </a:solidFill>
              <a:latin typeface="Poppins" panose="00000500000000000000" pitchFamily="2" charset="0"/>
              <a:ea typeface="+mn-ea"/>
              <a:cs typeface="Poppins" panose="00000500000000000000" pitchFamily="2" charset="0"/>
            </a:defRPr>
          </a:pPr>
          <a:endParaRPr lang="en-US"/>
        </a:p>
      </c:txPr>
    </c:legend>
    <c:plotVisOnly val="1"/>
    <c:dispBlanksAs val="zero"/>
    <c:showDLblsOverMax val="0"/>
    <c:extLst/>
  </c:chart>
  <c:spPr>
    <a:solidFill>
      <a:schemeClr val="bg1"/>
    </a:solidFill>
    <a:ln w="9525" cap="flat" cmpd="sng" algn="ctr">
      <a:noFill/>
      <a:round/>
    </a:ln>
    <a:effectLst/>
  </c:spPr>
  <c:txPr>
    <a:bodyPr/>
    <a:lstStyle/>
    <a:p>
      <a:pPr>
        <a:defRPr>
          <a:solidFill>
            <a:sysClr val="windowText" lastClr="000000"/>
          </a:solidFill>
          <a:latin typeface="Poppins" panose="00000500000000000000" pitchFamily="2" charset="0"/>
          <a:cs typeface="Poppins" panose="00000500000000000000" pitchFamily="2"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97154</xdr:colOff>
      <xdr:row>19</xdr:row>
      <xdr:rowOff>82458</xdr:rowOff>
    </xdr:from>
    <xdr:to>
      <xdr:col>5</xdr:col>
      <xdr:colOff>1170214</xdr:colOff>
      <xdr:row>41</xdr:row>
      <xdr:rowOff>190500</xdr:rowOff>
    </xdr:to>
    <xdr:graphicFrame macro="">
      <xdr:nvGraphicFramePr>
        <xdr:cNvPr id="2" name="Chart 1">
          <a:extLst>
            <a:ext uri="{FF2B5EF4-FFF2-40B4-BE49-F238E27FC236}">
              <a16:creationId xmlns:a16="http://schemas.microsoft.com/office/drawing/2014/main" id="{00051780-003F-B0AB-521C-CE244ECB64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2428875</xdr:colOff>
      <xdr:row>21</xdr:row>
      <xdr:rowOff>295276</xdr:rowOff>
    </xdr:from>
    <xdr:to>
      <xdr:col>5</xdr:col>
      <xdr:colOff>1000126</xdr:colOff>
      <xdr:row>23</xdr:row>
      <xdr:rowOff>257176</xdr:rowOff>
    </xdr:to>
    <xdr:sp macro="" textlink="F22">
      <xdr:nvSpPr>
        <xdr:cNvPr id="3" name="TextBox 2">
          <a:extLst>
            <a:ext uri="{FF2B5EF4-FFF2-40B4-BE49-F238E27FC236}">
              <a16:creationId xmlns:a16="http://schemas.microsoft.com/office/drawing/2014/main" id="{5E072988-67FE-BBB0-2019-1FD118A8F5C8}"/>
            </a:ext>
          </a:extLst>
        </xdr:cNvPr>
        <xdr:cNvSpPr txBox="1"/>
      </xdr:nvSpPr>
      <xdr:spPr>
        <a:xfrm>
          <a:off x="11210925" y="12573001"/>
          <a:ext cx="4181476"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0E3803F-F32B-4278-AE14-A5DAFAC9E990}" type="TxLink">
            <a:rPr lang="en-US" sz="1100" b="0" i="0" u="none" strike="noStrike" kern="1200">
              <a:solidFill>
                <a:sysClr val="windowText" lastClr="000000"/>
              </a:solidFill>
              <a:latin typeface="Poppins"/>
              <a:cs typeface="Poppins"/>
            </a:rPr>
            <a:pPr/>
            <a:t>The modeled BAU scenario results in a 33% reduction in GHG emissions in 2050 in comparison to a 2023 baseline.</a:t>
          </a:fld>
          <a:endParaRPr lang="en-US" sz="1100" kern="1200">
            <a:solidFill>
              <a:sysClr val="windowText" lastClr="000000"/>
            </a:solidFill>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nick@lotussustainability.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energy.gov/gc/articles/microsoft-word-energy-code-enforcement-funding-task-force-fact-sheet-finaldocx" TargetMode="External"/><Relationship Id="rId13" Type="http://schemas.openxmlformats.org/officeDocument/2006/relationships/hyperlink" Target="https://www.energycodes.gov/sites/default/files/2021-07/EERE-2018-BT-DET-0014-0008.pdf" TargetMode="External"/><Relationship Id="rId3" Type="http://schemas.openxmlformats.org/officeDocument/2006/relationships/hyperlink" Target="https://comstock.nrel.gov/" TargetMode="External"/><Relationship Id="rId7" Type="http://schemas.openxmlformats.org/officeDocument/2006/relationships/hyperlink" Target="https://www.nrel.gov/buildings/beopt.html" TargetMode="External"/><Relationship Id="rId12" Type="http://schemas.openxmlformats.org/officeDocument/2006/relationships/hyperlink" Target="https://archive.ipcc.ch/pdf/special-reports/sroc/sroc05.pdf" TargetMode="External"/><Relationship Id="rId2" Type="http://schemas.openxmlformats.org/officeDocument/2006/relationships/hyperlink" Target="https://www.eia.gov/consumption/commercial/data/2018/ce/pdf/c9.pdf" TargetMode="External"/><Relationship Id="rId1" Type="http://schemas.openxmlformats.org/officeDocument/2006/relationships/hyperlink" Target="https://www.energycodes.gov/sites/default/files/2021-07/2021_IECC_Final_Determination_AnalysisTSD.pdf" TargetMode="External"/><Relationship Id="rId6" Type="http://schemas.openxmlformats.org/officeDocument/2006/relationships/hyperlink" Target="https://www.nrel.gov/buildings/beopt.html" TargetMode="External"/><Relationship Id="rId11" Type="http://schemas.openxmlformats.org/officeDocument/2006/relationships/hyperlink" Target="https://refrigeranthq.com/f-a-q/how-much-freonrefrigerant-does-an-ac-unit-hold/" TargetMode="External"/><Relationship Id="rId5" Type="http://schemas.openxmlformats.org/officeDocument/2006/relationships/hyperlink" Target="https://energypolicy.solutions/simulator/newmexico/en" TargetMode="External"/><Relationship Id="rId10" Type="http://schemas.openxmlformats.org/officeDocument/2006/relationships/hyperlink" Target="https://www.pickhvac.com/central-air-conditioner/size/ton-to-square-feet/" TargetMode="External"/><Relationship Id="rId4" Type="http://schemas.openxmlformats.org/officeDocument/2006/relationships/hyperlink" Target="https://resstock.nrel.gov/datasets" TargetMode="External"/><Relationship Id="rId9" Type="http://schemas.openxmlformats.org/officeDocument/2006/relationships/hyperlink" Target="https://www.ubs.com/global/en/sustainability-impact/sustainability-insights/reports/retrofit-revolution/_jcr_content/pagehead.2146460108.file/PS9jb250ZW50L2RhbS9hc3NldHMvY2Mvc3VzdGFpbmFiaWxpdHktYW5kLWltcGFjdC9pbnN0aXR1dGUvZG9jL3JldHJvZml0LXJldm9sdXRpb24tcmVwb3J0LnBkZg==/retrofit-revolution-report.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weatherdatadepot.com/degree-day-comparison" TargetMode="External"/><Relationship Id="rId2" Type="http://schemas.openxmlformats.org/officeDocument/2006/relationships/hyperlink" Target="https://www.r32reasons.com/docs/default-source/default-document-library/the-facts-about-r-32-and-r-454b.pdf?sfvrsn=f711fd62_0" TargetMode="External"/><Relationship Id="rId1" Type="http://schemas.openxmlformats.org/officeDocument/2006/relationships/hyperlink" Target="https://www.epa.gov/sites/default/files/2015-09/documents/epa_hfc_residential_light_commercial_ac.pdf" TargetMode="External"/><Relationship Id="rId6" Type="http://schemas.openxmlformats.org/officeDocument/2006/relationships/printerSettings" Target="../printerSettings/printerSettings4.bin"/><Relationship Id="rId5" Type="http://schemas.openxmlformats.org/officeDocument/2006/relationships/hyperlink" Target="https://comstock.nrel.gov/" TargetMode="External"/><Relationship Id="rId4" Type="http://schemas.openxmlformats.org/officeDocument/2006/relationships/hyperlink" Target="http://www.weatherdatadepo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E00B0-F219-4BCB-B895-181705D96162}">
  <sheetPr codeName="Sheet6">
    <tabColor theme="1"/>
  </sheetPr>
  <dimension ref="A1:W27"/>
  <sheetViews>
    <sheetView workbookViewId="0">
      <selection activeCell="J8" sqref="J8"/>
    </sheetView>
  </sheetViews>
  <sheetFormatPr defaultColWidth="9.109375" defaultRowHeight="14.4" outlineLevelRow="1" x14ac:dyDescent="0.3"/>
  <cols>
    <col min="1" max="4" width="44.6640625" style="35" customWidth="1"/>
    <col min="5" max="16384" width="9.109375" style="35"/>
  </cols>
  <sheetData>
    <row r="1" spans="1:23" ht="37.799999999999997" x14ac:dyDescent="0.3">
      <c r="A1" s="409" t="s">
        <v>99</v>
      </c>
      <c r="B1" s="409"/>
      <c r="C1" s="409"/>
      <c r="D1" s="409"/>
    </row>
    <row r="2" spans="1:23" ht="31.8" x14ac:dyDescent="0.3">
      <c r="A2" s="410" t="s">
        <v>100</v>
      </c>
      <c r="B2" s="410"/>
      <c r="C2" s="410"/>
      <c r="D2" s="410"/>
    </row>
    <row r="3" spans="1:23" ht="110.1" customHeight="1" x14ac:dyDescent="0.3">
      <c r="A3" s="411" t="s">
        <v>641</v>
      </c>
      <c r="B3" s="412"/>
      <c r="C3" s="412"/>
      <c r="D3" s="413"/>
    </row>
    <row r="4" spans="1:23" s="389" customFormat="1" ht="31.8" x14ac:dyDescent="0.85">
      <c r="A4" s="419" t="s">
        <v>662</v>
      </c>
      <c r="B4" s="420"/>
      <c r="C4" s="420"/>
      <c r="D4" s="421"/>
      <c r="E4" s="387"/>
      <c r="F4" s="387"/>
      <c r="G4" s="387"/>
      <c r="H4" s="387"/>
      <c r="I4" s="387"/>
      <c r="J4" s="387"/>
      <c r="K4" s="387"/>
      <c r="L4" s="387"/>
      <c r="M4" s="387"/>
      <c r="N4" s="387"/>
      <c r="O4" s="387"/>
      <c r="P4" s="387"/>
      <c r="Q4" s="387"/>
      <c r="R4" s="387"/>
      <c r="S4" s="387"/>
      <c r="T4" s="387"/>
      <c r="U4" s="387"/>
      <c r="V4" s="388"/>
      <c r="W4" s="388"/>
    </row>
    <row r="5" spans="1:23" s="389" customFormat="1" ht="24" outlineLevel="1" x14ac:dyDescent="0.85">
      <c r="A5" s="422" t="s">
        <v>663</v>
      </c>
      <c r="B5" s="423"/>
      <c r="C5" s="424" t="s">
        <v>664</v>
      </c>
      <c r="D5" s="425"/>
      <c r="E5" s="387"/>
      <c r="F5" s="387"/>
      <c r="G5" s="387"/>
      <c r="H5" s="387"/>
      <c r="I5" s="387"/>
      <c r="J5" s="387"/>
      <c r="K5" s="387"/>
      <c r="L5" s="387"/>
      <c r="M5" s="387"/>
      <c r="N5" s="387"/>
      <c r="O5" s="387"/>
      <c r="P5" s="387"/>
      <c r="Q5" s="387"/>
      <c r="R5" s="387"/>
      <c r="S5" s="387"/>
      <c r="T5" s="387"/>
      <c r="U5" s="387"/>
      <c r="V5" s="388"/>
      <c r="W5" s="388"/>
    </row>
    <row r="6" spans="1:23" s="396" customFormat="1" ht="20.399999999999999" outlineLevel="1" x14ac:dyDescent="0.7">
      <c r="A6" s="390" t="s">
        <v>665</v>
      </c>
      <c r="B6" s="391" t="s">
        <v>173</v>
      </c>
      <c r="C6" s="392" t="s">
        <v>666</v>
      </c>
      <c r="D6" s="393" t="s">
        <v>667</v>
      </c>
      <c r="E6" s="394"/>
      <c r="F6" s="394"/>
      <c r="G6" s="394"/>
      <c r="H6" s="394"/>
      <c r="I6" s="394"/>
      <c r="J6" s="394"/>
      <c r="K6" s="394"/>
      <c r="L6" s="394"/>
      <c r="M6" s="394"/>
      <c r="N6" s="394"/>
      <c r="O6" s="394"/>
      <c r="P6" s="394"/>
      <c r="Q6" s="394"/>
      <c r="R6" s="394"/>
      <c r="S6" s="394"/>
      <c r="T6" s="394"/>
      <c r="U6" s="394"/>
      <c r="V6" s="395"/>
      <c r="W6" s="395"/>
    </row>
    <row r="7" spans="1:23" s="396" customFormat="1" ht="20.399999999999999" outlineLevel="1" x14ac:dyDescent="0.7">
      <c r="A7" s="390" t="s">
        <v>668</v>
      </c>
      <c r="B7" s="397" t="s">
        <v>669</v>
      </c>
      <c r="C7" s="392" t="s">
        <v>668</v>
      </c>
      <c r="D7" s="398" t="s">
        <v>677</v>
      </c>
      <c r="E7" s="394"/>
      <c r="F7" s="394"/>
      <c r="G7" s="394"/>
      <c r="H7" s="394"/>
      <c r="I7" s="394"/>
      <c r="J7" s="394"/>
      <c r="K7" s="394"/>
      <c r="L7" s="394"/>
      <c r="M7" s="394"/>
      <c r="N7" s="394"/>
      <c r="O7" s="394"/>
      <c r="P7" s="394"/>
      <c r="Q7" s="394"/>
      <c r="R7" s="394"/>
      <c r="S7" s="394"/>
      <c r="T7" s="394"/>
      <c r="U7" s="394"/>
      <c r="V7" s="395"/>
      <c r="W7" s="395"/>
    </row>
    <row r="8" spans="1:23" s="396" customFormat="1" ht="20.399999999999999" outlineLevel="1" x14ac:dyDescent="0.7">
      <c r="A8" s="390" t="s">
        <v>670</v>
      </c>
      <c r="B8" s="397" t="s">
        <v>671</v>
      </c>
      <c r="C8" s="392" t="s">
        <v>670</v>
      </c>
      <c r="D8" s="399" t="s">
        <v>678</v>
      </c>
      <c r="E8" s="394"/>
      <c r="F8" s="394"/>
      <c r="G8" s="394"/>
      <c r="H8" s="394"/>
      <c r="I8" s="394"/>
      <c r="J8" s="394"/>
      <c r="K8" s="394"/>
      <c r="L8" s="394"/>
      <c r="M8" s="394"/>
      <c r="N8" s="394"/>
      <c r="O8" s="394"/>
      <c r="P8" s="394"/>
      <c r="Q8" s="394"/>
      <c r="R8" s="394"/>
      <c r="S8" s="394"/>
      <c r="T8" s="394"/>
      <c r="U8" s="394"/>
      <c r="V8" s="395"/>
      <c r="W8" s="395"/>
    </row>
    <row r="9" spans="1:23" s="396" customFormat="1" ht="20.399999999999999" outlineLevel="1" x14ac:dyDescent="0.7">
      <c r="A9" s="390" t="s">
        <v>672</v>
      </c>
      <c r="B9" s="398" t="s">
        <v>673</v>
      </c>
      <c r="C9" s="392" t="s">
        <v>674</v>
      </c>
      <c r="D9" s="398" t="s">
        <v>679</v>
      </c>
      <c r="E9" s="394"/>
      <c r="F9" s="394"/>
      <c r="G9" s="394"/>
      <c r="H9" s="394"/>
      <c r="I9" s="394"/>
      <c r="J9" s="394"/>
      <c r="K9" s="394"/>
      <c r="L9" s="394"/>
      <c r="M9" s="394"/>
      <c r="N9" s="394"/>
      <c r="O9" s="394"/>
      <c r="P9" s="394"/>
      <c r="Q9" s="394"/>
      <c r="R9" s="394"/>
      <c r="S9" s="394"/>
      <c r="T9" s="394"/>
      <c r="U9" s="394"/>
      <c r="V9" s="395"/>
      <c r="W9" s="395"/>
    </row>
    <row r="10" spans="1:23" s="61" customFormat="1" ht="20.399999999999999" outlineLevel="1" x14ac:dyDescent="0.7">
      <c r="A10" s="392" t="s">
        <v>675</v>
      </c>
      <c r="B10" s="400" t="s">
        <v>676</v>
      </c>
      <c r="C10" s="392" t="s">
        <v>675</v>
      </c>
      <c r="D10" s="401" t="s">
        <v>680</v>
      </c>
      <c r="E10" s="394"/>
      <c r="F10" s="394"/>
      <c r="G10" s="394"/>
    </row>
    <row r="11" spans="1:23" ht="31.8" x14ac:dyDescent="0.3">
      <c r="A11" s="410" t="s">
        <v>101</v>
      </c>
      <c r="B11" s="410"/>
      <c r="C11" s="410"/>
      <c r="D11" s="410"/>
    </row>
    <row r="12" spans="1:23" ht="68.400000000000006" customHeight="1" x14ac:dyDescent="0.7">
      <c r="A12" s="414" t="s">
        <v>638</v>
      </c>
      <c r="B12" s="414"/>
      <c r="C12" s="414"/>
      <c r="D12" s="414"/>
    </row>
    <row r="13" spans="1:23" ht="20.399999999999999" x14ac:dyDescent="0.7">
      <c r="A13" s="415"/>
      <c r="B13" s="415"/>
      <c r="C13" s="415"/>
      <c r="D13" s="415"/>
    </row>
    <row r="14" spans="1:23" ht="24" x14ac:dyDescent="0.3">
      <c r="A14" s="406" t="s">
        <v>102</v>
      </c>
      <c r="B14" s="408"/>
    </row>
    <row r="15" spans="1:23" ht="20.399999999999999" x14ac:dyDescent="0.7">
      <c r="A15" s="416" t="s">
        <v>103</v>
      </c>
      <c r="B15" s="416"/>
    </row>
    <row r="16" spans="1:23" ht="20.399999999999999" x14ac:dyDescent="0.7">
      <c r="A16" s="417" t="s">
        <v>104</v>
      </c>
      <c r="B16" s="417"/>
    </row>
    <row r="17" spans="1:4" ht="20.399999999999999" x14ac:dyDescent="0.7">
      <c r="A17" s="418" t="s">
        <v>105</v>
      </c>
      <c r="B17" s="418"/>
    </row>
    <row r="18" spans="1:4" ht="31.8" x14ac:dyDescent="0.3">
      <c r="A18" s="410" t="s">
        <v>106</v>
      </c>
      <c r="B18" s="410"/>
      <c r="C18" s="410"/>
      <c r="D18" s="410"/>
    </row>
    <row r="19" spans="1:4" ht="24" x14ac:dyDescent="0.3">
      <c r="A19" s="24" t="s">
        <v>107</v>
      </c>
      <c r="B19" s="406" t="s">
        <v>98</v>
      </c>
      <c r="C19" s="407"/>
      <c r="D19" s="408"/>
    </row>
    <row r="20" spans="1:4" ht="20.399999999999999" x14ac:dyDescent="0.7">
      <c r="A20" s="432" t="s">
        <v>633</v>
      </c>
      <c r="B20" s="433"/>
      <c r="C20" s="433"/>
      <c r="D20" s="434"/>
    </row>
    <row r="21" spans="1:4" ht="20.399999999999999" x14ac:dyDescent="0.3">
      <c r="A21" s="26" t="s">
        <v>108</v>
      </c>
      <c r="B21" s="429" t="s">
        <v>637</v>
      </c>
      <c r="C21" s="430"/>
      <c r="D21" s="431"/>
    </row>
    <row r="22" spans="1:4" ht="20.399999999999999" x14ac:dyDescent="0.3">
      <c r="A22" s="435" t="s">
        <v>636</v>
      </c>
      <c r="B22" s="436"/>
      <c r="C22" s="436"/>
      <c r="D22" s="437"/>
    </row>
    <row r="23" spans="1:4" ht="20.399999999999999" x14ac:dyDescent="0.3">
      <c r="A23" s="25" t="s">
        <v>634</v>
      </c>
      <c r="B23" s="429" t="s">
        <v>639</v>
      </c>
      <c r="C23" s="430"/>
      <c r="D23" s="431"/>
    </row>
    <row r="24" spans="1:4" ht="20.399999999999999" x14ac:dyDescent="0.3">
      <c r="A24" s="25" t="s">
        <v>635</v>
      </c>
      <c r="B24" s="429" t="s">
        <v>640</v>
      </c>
      <c r="C24" s="430"/>
      <c r="D24" s="431"/>
    </row>
    <row r="25" spans="1:4" ht="20.399999999999999" x14ac:dyDescent="0.3">
      <c r="A25" s="426" t="s">
        <v>109</v>
      </c>
      <c r="B25" s="427"/>
      <c r="C25" s="427"/>
      <c r="D25" s="428"/>
    </row>
    <row r="26" spans="1:4" ht="20.399999999999999" x14ac:dyDescent="0.3">
      <c r="A26" s="25" t="s">
        <v>72</v>
      </c>
      <c r="B26" s="429" t="s">
        <v>111</v>
      </c>
      <c r="C26" s="430"/>
      <c r="D26" s="431"/>
    </row>
    <row r="27" spans="1:4" ht="20.399999999999999" x14ac:dyDescent="0.7">
      <c r="A27" s="340" t="s">
        <v>0</v>
      </c>
      <c r="B27" s="429" t="s">
        <v>110</v>
      </c>
      <c r="C27" s="430"/>
      <c r="D27" s="431"/>
    </row>
  </sheetData>
  <mergeCells count="23">
    <mergeCell ref="A25:D25"/>
    <mergeCell ref="B27:D27"/>
    <mergeCell ref="B26:D26"/>
    <mergeCell ref="B24:D24"/>
    <mergeCell ref="A20:D20"/>
    <mergeCell ref="B21:D21"/>
    <mergeCell ref="A22:D22"/>
    <mergeCell ref="B23:D23"/>
    <mergeCell ref="B19:D19"/>
    <mergeCell ref="A1:D1"/>
    <mergeCell ref="A2:D2"/>
    <mergeCell ref="A3:D3"/>
    <mergeCell ref="A11:D11"/>
    <mergeCell ref="A12:D12"/>
    <mergeCell ref="A13:D13"/>
    <mergeCell ref="A14:B14"/>
    <mergeCell ref="A15:B15"/>
    <mergeCell ref="A16:B16"/>
    <mergeCell ref="A17:B17"/>
    <mergeCell ref="A18:D18"/>
    <mergeCell ref="A4:D4"/>
    <mergeCell ref="A5:B5"/>
    <mergeCell ref="C5:D5"/>
  </mergeCells>
  <hyperlinks>
    <hyperlink ref="A23" location="'Baseline Transportation'!A1" display="Baseline Transportation" xr:uid="{45F0F0D4-A261-4D13-8426-2D00D850C43A}"/>
    <hyperlink ref="A24" location="'Baseline Building Energy'!A1" display="Baseline Building Energy" xr:uid="{883714F5-FE7D-453B-AF41-42034E37ED89}"/>
    <hyperlink ref="A21" location="'Business As Usual'!A1" display="Business-As-Usual" xr:uid="{61C6DD57-EC18-493C-B440-B16EA6E38261}"/>
    <hyperlink ref="A27" location="'Emission Factors and Constants'!A1" display="Emission Factors and Constants" xr:uid="{27173684-B5FD-4E12-97D2-A1F35D0EB548}"/>
    <hyperlink ref="A26" location="'Forecast Parameters'!A1" display="Forecast Parameters" xr:uid="{2C430CCF-D4BD-47AE-A8FA-08ADF3AAC3AB}"/>
    <hyperlink ref="D10" r:id="rId1" xr:uid="{399A994D-AB00-449A-9A78-5130A938FE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8FE80-447D-480A-A250-46657D9658FB}">
  <sheetPr codeName="Sheet5">
    <tabColor rgb="FF3DB2AA"/>
  </sheetPr>
  <dimension ref="A1:AG172"/>
  <sheetViews>
    <sheetView tabSelected="1" topLeftCell="A5" zoomScale="70" zoomScaleNormal="70" workbookViewId="0">
      <selection activeCell="D76" sqref="D76"/>
    </sheetView>
  </sheetViews>
  <sheetFormatPr defaultColWidth="9.109375" defaultRowHeight="20.399999999999999" outlineLevelRow="1" x14ac:dyDescent="0.7"/>
  <cols>
    <col min="1" max="1" width="60.5546875" style="61" customWidth="1"/>
    <col min="2" max="2" width="22.5546875" style="61" customWidth="1"/>
    <col min="3" max="3" width="48.5546875" style="61" customWidth="1"/>
    <col min="4" max="4" width="61.5546875" style="61" customWidth="1"/>
    <col min="5" max="5" width="22.5546875" style="61" customWidth="1"/>
    <col min="6" max="6" width="18.44140625" style="61" customWidth="1"/>
    <col min="7" max="9" width="19" style="61" customWidth="1"/>
    <col min="10" max="13" width="18.44140625" style="61" customWidth="1"/>
    <col min="14" max="14" width="19" style="61" customWidth="1"/>
    <col min="15" max="16" width="18.44140625" style="61" customWidth="1"/>
    <col min="17" max="17" width="19" style="61" customWidth="1"/>
    <col min="18" max="18" width="18.44140625" style="61" customWidth="1"/>
    <col min="19" max="19" width="19" style="61" customWidth="1"/>
    <col min="20" max="23" width="18.44140625" style="61" customWidth="1"/>
    <col min="24" max="24" width="19" style="61" customWidth="1"/>
    <col min="25" max="28" width="18.44140625" style="61" customWidth="1"/>
    <col min="29" max="29" width="19" style="61" bestFit="1" customWidth="1"/>
    <col min="30" max="30" width="16.5546875" style="61" bestFit="1" customWidth="1"/>
    <col min="31" max="31" width="15" style="61" bestFit="1" customWidth="1"/>
    <col min="32" max="32" width="9.88671875" style="61" bestFit="1" customWidth="1"/>
    <col min="33" max="33" width="18" style="61" customWidth="1"/>
    <col min="34" max="16384" width="9.109375" style="61"/>
  </cols>
  <sheetData>
    <row r="1" spans="1:29" ht="37.799999999999997" x14ac:dyDescent="0.7">
      <c r="A1" s="210" t="s">
        <v>62</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2"/>
    </row>
    <row r="2" spans="1:29" ht="31.8" x14ac:dyDescent="1.1000000000000001">
      <c r="A2" s="242" t="s">
        <v>36</v>
      </c>
      <c r="B2" s="243"/>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4"/>
    </row>
    <row r="3" spans="1:29" ht="81.599999999999994" customHeight="1" outlineLevel="1" x14ac:dyDescent="0.7">
      <c r="A3" s="438" t="s">
        <v>643</v>
      </c>
      <c r="B3" s="438"/>
      <c r="C3" s="438"/>
      <c r="D3" s="438"/>
      <c r="E3" s="438"/>
      <c r="F3" s="438"/>
      <c r="G3" s="233"/>
      <c r="H3" s="233"/>
      <c r="I3" s="233"/>
      <c r="J3" s="233"/>
      <c r="K3" s="233"/>
      <c r="L3" s="233"/>
      <c r="M3" s="233"/>
      <c r="N3" s="233"/>
      <c r="O3" s="233"/>
      <c r="P3" s="233"/>
      <c r="Q3" s="233"/>
      <c r="R3" s="233"/>
      <c r="S3" s="233"/>
      <c r="T3" s="233"/>
      <c r="U3" s="233"/>
      <c r="V3" s="233"/>
      <c r="W3" s="233"/>
      <c r="X3" s="233"/>
      <c r="Y3" s="233"/>
      <c r="Z3" s="233"/>
      <c r="AA3" s="233"/>
      <c r="AB3" s="233"/>
    </row>
    <row r="4" spans="1:29" ht="44.25" customHeight="1" outlineLevel="1" x14ac:dyDescent="0.7">
      <c r="A4" s="438" t="s">
        <v>691</v>
      </c>
      <c r="B4" s="438"/>
      <c r="C4" s="438"/>
      <c r="D4" s="438"/>
      <c r="E4" s="438"/>
      <c r="F4" s="438"/>
      <c r="G4" s="233"/>
      <c r="H4" s="233"/>
      <c r="I4" s="233"/>
      <c r="J4" s="233"/>
      <c r="K4" s="233"/>
      <c r="L4" s="233"/>
      <c r="M4" s="233"/>
      <c r="N4" s="233"/>
      <c r="O4" s="233"/>
      <c r="P4" s="233"/>
      <c r="Q4" s="233"/>
      <c r="R4" s="233"/>
      <c r="S4" s="233"/>
      <c r="T4" s="233"/>
      <c r="U4" s="233"/>
      <c r="V4" s="233"/>
      <c r="W4" s="233"/>
      <c r="X4" s="233"/>
      <c r="Y4" s="233"/>
      <c r="Z4" s="233"/>
      <c r="AA4" s="233"/>
      <c r="AB4" s="233"/>
    </row>
    <row r="5" spans="1:29" ht="105.75" customHeight="1" outlineLevel="1" x14ac:dyDescent="0.7">
      <c r="A5" s="438" t="s">
        <v>527</v>
      </c>
      <c r="B5" s="438"/>
      <c r="C5" s="438"/>
      <c r="D5" s="438"/>
      <c r="E5" s="438"/>
      <c r="F5" s="438"/>
      <c r="G5" s="233"/>
      <c r="H5" s="233"/>
      <c r="I5" s="233"/>
      <c r="J5" s="233"/>
      <c r="K5" s="233"/>
      <c r="L5" s="233"/>
      <c r="M5" s="233"/>
      <c r="N5" s="233"/>
      <c r="O5" s="233"/>
      <c r="P5" s="233"/>
      <c r="Q5" s="233"/>
      <c r="R5" s="233"/>
      <c r="S5" s="233"/>
      <c r="T5" s="233"/>
      <c r="U5" s="233"/>
      <c r="V5" s="233"/>
      <c r="W5" s="233"/>
      <c r="X5" s="233"/>
      <c r="Y5" s="233"/>
      <c r="Z5" s="233"/>
      <c r="AA5" s="233"/>
      <c r="AB5" s="233"/>
    </row>
    <row r="6" spans="1:29" ht="85.5" customHeight="1" outlineLevel="1" x14ac:dyDescent="0.7">
      <c r="A6" s="438" t="s">
        <v>528</v>
      </c>
      <c r="B6" s="438"/>
      <c r="C6" s="438"/>
      <c r="D6" s="438"/>
      <c r="E6" s="438"/>
      <c r="F6" s="438"/>
    </row>
    <row r="7" spans="1:29" ht="39" customHeight="1" outlineLevel="1" x14ac:dyDescent="0.7">
      <c r="A7" s="438" t="s">
        <v>513</v>
      </c>
      <c r="B7" s="438"/>
      <c r="C7" s="438"/>
      <c r="D7" s="438"/>
      <c r="E7" s="438"/>
      <c r="F7" s="438"/>
    </row>
    <row r="8" spans="1:29" ht="73.349999999999994" customHeight="1" outlineLevel="1" x14ac:dyDescent="0.7">
      <c r="A8" s="438" t="s">
        <v>529</v>
      </c>
      <c r="B8" s="438"/>
      <c r="C8" s="438"/>
      <c r="D8" s="438"/>
      <c r="E8" s="438"/>
      <c r="F8" s="438"/>
      <c r="G8" s="233"/>
      <c r="H8" s="233"/>
      <c r="I8" s="233"/>
      <c r="J8" s="233"/>
      <c r="K8" s="233"/>
      <c r="L8" s="233"/>
      <c r="M8" s="233"/>
      <c r="N8" s="233"/>
      <c r="O8" s="233"/>
      <c r="P8" s="233"/>
      <c r="Q8" s="233"/>
      <c r="R8" s="233"/>
      <c r="S8" s="233"/>
      <c r="T8" s="233"/>
      <c r="U8" s="233"/>
      <c r="V8" s="233"/>
      <c r="W8" s="233"/>
      <c r="X8" s="233"/>
      <c r="Y8" s="233"/>
      <c r="Z8" s="233"/>
      <c r="AA8" s="233"/>
      <c r="AB8" s="233"/>
    </row>
    <row r="9" spans="1:29" ht="53.85" customHeight="1" outlineLevel="1" x14ac:dyDescent="0.7">
      <c r="A9" s="438" t="s">
        <v>530</v>
      </c>
      <c r="B9" s="438"/>
      <c r="C9" s="438"/>
      <c r="D9" s="438"/>
      <c r="E9" s="438"/>
      <c r="F9" s="438"/>
      <c r="G9" s="233"/>
      <c r="H9" s="233"/>
      <c r="I9" s="233"/>
      <c r="J9" s="233"/>
      <c r="K9" s="233"/>
      <c r="L9" s="233"/>
      <c r="M9" s="233"/>
      <c r="N9" s="233"/>
      <c r="O9" s="233"/>
      <c r="P9" s="233"/>
      <c r="Q9" s="233"/>
      <c r="R9" s="233"/>
      <c r="S9" s="233"/>
      <c r="T9" s="233"/>
      <c r="U9" s="233"/>
      <c r="V9" s="233"/>
      <c r="W9" s="233"/>
      <c r="X9" s="233"/>
      <c r="Y9" s="233"/>
      <c r="Z9" s="233"/>
      <c r="AA9" s="233"/>
      <c r="AB9" s="233"/>
    </row>
    <row r="10" spans="1:29" ht="25.35" customHeight="1" outlineLevel="1" x14ac:dyDescent="0.7">
      <c r="A10" s="438" t="s">
        <v>515</v>
      </c>
      <c r="B10" s="438"/>
      <c r="C10" s="438"/>
      <c r="D10" s="438"/>
      <c r="E10" s="438"/>
      <c r="F10" s="438"/>
      <c r="G10" s="233"/>
      <c r="H10" s="233"/>
      <c r="I10" s="233"/>
      <c r="J10" s="233"/>
      <c r="K10" s="233"/>
      <c r="L10" s="233"/>
      <c r="M10" s="233"/>
      <c r="N10" s="233"/>
      <c r="O10" s="233"/>
      <c r="P10" s="233"/>
      <c r="Q10" s="233"/>
      <c r="R10" s="233"/>
      <c r="S10" s="233"/>
      <c r="T10" s="233"/>
      <c r="U10" s="233"/>
      <c r="V10" s="233"/>
      <c r="W10" s="233"/>
      <c r="X10" s="233"/>
      <c r="Y10" s="233"/>
      <c r="Z10" s="233"/>
      <c r="AA10" s="233"/>
      <c r="AB10" s="233"/>
    </row>
    <row r="11" spans="1:29" outlineLevel="1" x14ac:dyDescent="0.7">
      <c r="A11" s="438" t="s">
        <v>516</v>
      </c>
      <c r="B11" s="438"/>
      <c r="C11" s="438"/>
      <c r="D11" s="438"/>
      <c r="E11" s="438"/>
      <c r="F11" s="438"/>
      <c r="G11" s="233"/>
      <c r="H11" s="233"/>
      <c r="I11" s="233"/>
      <c r="J11" s="233"/>
      <c r="K11" s="233"/>
      <c r="L11" s="233"/>
      <c r="M11" s="233"/>
    </row>
    <row r="12" spans="1:29" outlineLevel="1" x14ac:dyDescent="0.7">
      <c r="A12" s="438" t="s">
        <v>517</v>
      </c>
      <c r="B12" s="438"/>
      <c r="C12" s="438"/>
      <c r="D12" s="438"/>
      <c r="E12" s="438"/>
      <c r="F12" s="438"/>
      <c r="G12" s="233"/>
      <c r="H12" s="233"/>
      <c r="I12" s="233"/>
      <c r="J12" s="233"/>
      <c r="K12" s="233"/>
      <c r="L12" s="233"/>
      <c r="M12" s="233"/>
    </row>
    <row r="13" spans="1:29" ht="66.75" customHeight="1" outlineLevel="1" x14ac:dyDescent="0.7">
      <c r="A13" s="438" t="s">
        <v>602</v>
      </c>
      <c r="B13" s="438"/>
      <c r="C13" s="438"/>
      <c r="D13" s="438"/>
      <c r="E13" s="438"/>
      <c r="F13" s="438"/>
      <c r="G13" s="233"/>
      <c r="H13" s="233"/>
      <c r="I13" s="233"/>
      <c r="J13" s="233"/>
      <c r="K13" s="233"/>
      <c r="L13" s="233"/>
      <c r="M13" s="233"/>
    </row>
    <row r="14" spans="1:29" ht="25.35" customHeight="1" outlineLevel="1" x14ac:dyDescent="0.7">
      <c r="A14" s="439"/>
      <c r="B14" s="439"/>
      <c r="C14" s="439"/>
      <c r="D14" s="439"/>
      <c r="E14" s="439"/>
      <c r="F14" s="439"/>
      <c r="G14" s="238"/>
      <c r="H14" s="233"/>
      <c r="I14" s="233"/>
      <c r="J14" s="233"/>
      <c r="K14" s="233"/>
      <c r="L14" s="233"/>
      <c r="M14" s="233"/>
    </row>
    <row r="15" spans="1:29" ht="32.4" thickBot="1" x14ac:dyDescent="1.1499999999999999">
      <c r="A15" s="327" t="s">
        <v>603</v>
      </c>
      <c r="B15" s="326"/>
      <c r="C15" s="326"/>
      <c r="D15" s="246"/>
      <c r="E15" s="246"/>
      <c r="F15" s="246"/>
      <c r="G15" s="246"/>
      <c r="H15" s="246"/>
      <c r="I15" s="246"/>
      <c r="J15" s="246"/>
      <c r="K15" s="246"/>
      <c r="L15" s="246"/>
      <c r="M15" s="246"/>
      <c r="N15" s="246"/>
      <c r="O15" s="246"/>
      <c r="P15" s="246"/>
      <c r="Q15" s="246"/>
      <c r="R15" s="246"/>
      <c r="S15" s="246"/>
      <c r="T15" s="246"/>
      <c r="U15" s="246"/>
      <c r="V15" s="246"/>
      <c r="W15" s="246"/>
      <c r="X15" s="246"/>
      <c r="Y15" s="246"/>
      <c r="Z15" s="246"/>
      <c r="AA15" s="246"/>
      <c r="AB15" s="246"/>
      <c r="AC15" s="247"/>
    </row>
    <row r="16" spans="1:29" ht="26.25" customHeight="1" x14ac:dyDescent="0.7">
      <c r="A16" s="328" t="s">
        <v>70</v>
      </c>
      <c r="B16" s="331" t="s">
        <v>97</v>
      </c>
      <c r="C16" s="329" t="s">
        <v>36</v>
      </c>
      <c r="D16" s="325"/>
      <c r="E16" s="325"/>
      <c r="F16" s="325"/>
      <c r="G16" s="238"/>
      <c r="H16" s="233"/>
      <c r="I16" s="233"/>
      <c r="J16" s="233"/>
      <c r="K16" s="233"/>
      <c r="L16" s="233"/>
      <c r="M16" s="233"/>
    </row>
    <row r="17" spans="1:29" ht="92.25" customHeight="1" thickBot="1" x14ac:dyDescent="0.75">
      <c r="A17" s="330" t="s">
        <v>604</v>
      </c>
      <c r="B17" s="332" t="s">
        <v>701</v>
      </c>
      <c r="C17" s="333" t="str">
        <f>IF(B17="Low", "This scenario models ~8% passenger vehicles, 4% light-trucks, and 0% of medium-duty, heavy-duty, and motorcycles electrifying by 2050.", "This scenario models ~81% of passenger vehicles, 58% of light- and medium-duty freight trucks, 41% of heavy-duty freight trucks, and 31% of motorbikes electrifying by 2050.")</f>
        <v>This scenario models ~8% passenger vehicles, 4% light-trucks, and 0% of medium-duty, heavy-duty, and motorcycles electrifying by 2050.</v>
      </c>
      <c r="D17" s="325"/>
      <c r="E17" s="325"/>
      <c r="F17" s="325"/>
      <c r="G17" s="238"/>
      <c r="H17" s="233"/>
      <c r="I17" s="233"/>
      <c r="J17" s="233"/>
      <c r="K17" s="233"/>
      <c r="L17" s="233"/>
      <c r="M17" s="233"/>
    </row>
    <row r="18" spans="1:29" ht="25.35" customHeight="1" x14ac:dyDescent="0.7">
      <c r="A18" s="439"/>
      <c r="B18" s="439"/>
      <c r="C18" s="439"/>
      <c r="D18" s="439"/>
      <c r="E18" s="439"/>
      <c r="F18" s="439"/>
      <c r="G18" s="238"/>
      <c r="H18" s="233"/>
      <c r="I18" s="233"/>
      <c r="J18" s="233"/>
      <c r="K18" s="233"/>
      <c r="L18" s="233"/>
      <c r="M18" s="233"/>
    </row>
    <row r="19" spans="1:29" ht="31.8" x14ac:dyDescent="1.1000000000000001">
      <c r="A19" s="245" t="s">
        <v>512</v>
      </c>
      <c r="B19" s="246"/>
      <c r="C19" s="246"/>
      <c r="D19" s="246"/>
      <c r="E19" s="246"/>
      <c r="F19" s="246"/>
      <c r="G19" s="246"/>
      <c r="H19" s="246"/>
      <c r="I19" s="246"/>
      <c r="J19" s="246"/>
      <c r="K19" s="246"/>
      <c r="L19" s="246"/>
      <c r="M19" s="246"/>
      <c r="N19" s="246"/>
      <c r="O19" s="246"/>
      <c r="P19" s="246"/>
      <c r="Q19" s="246"/>
      <c r="R19" s="246"/>
      <c r="S19" s="246"/>
      <c r="T19" s="246"/>
      <c r="U19" s="246"/>
      <c r="V19" s="246"/>
      <c r="W19" s="246"/>
      <c r="X19" s="246"/>
      <c r="Y19" s="246"/>
      <c r="Z19" s="246"/>
      <c r="AA19" s="246"/>
      <c r="AB19" s="246"/>
      <c r="AC19" s="247"/>
    </row>
    <row r="20" spans="1:29" ht="25.35" customHeight="1" x14ac:dyDescent="0.7">
      <c r="A20" s="239"/>
      <c r="B20" s="239"/>
      <c r="C20" s="239"/>
      <c r="D20" s="239"/>
      <c r="E20" s="239"/>
      <c r="F20" s="239"/>
      <c r="G20" s="238"/>
      <c r="H20" s="233"/>
      <c r="I20" s="233"/>
      <c r="J20" s="233"/>
      <c r="K20" s="233"/>
      <c r="L20" s="233"/>
      <c r="M20" s="233"/>
    </row>
    <row r="21" spans="1:29" ht="25.35" customHeight="1" x14ac:dyDescent="0.7">
      <c r="A21" s="239"/>
      <c r="B21" s="239"/>
      <c r="C21" s="239"/>
      <c r="D21" s="239"/>
      <c r="E21" s="239"/>
      <c r="F21" s="239"/>
      <c r="G21" s="238"/>
      <c r="H21" s="233"/>
      <c r="I21" s="233"/>
      <c r="J21" s="233"/>
      <c r="K21" s="233"/>
      <c r="L21" s="233"/>
      <c r="M21" s="233"/>
    </row>
    <row r="22" spans="1:29" ht="25.35" customHeight="1" x14ac:dyDescent="0.7">
      <c r="A22" s="239"/>
      <c r="B22" s="239"/>
      <c r="C22" s="239"/>
      <c r="D22" s="239"/>
      <c r="E22" s="239"/>
      <c r="F22" s="402" t="str">
        <f>"The modeled BAU scenario results in a "&amp;TEXT(AC156*-1,"#%")&amp;" reduction in GHG emissions in 2050 in comparison to a 2023 baseline."</f>
        <v>The modeled BAU scenario results in a 33% reduction in GHG emissions in 2050 in comparison to a 2023 baseline.</v>
      </c>
      <c r="G22" s="238"/>
      <c r="H22" s="233"/>
      <c r="I22" s="233"/>
      <c r="J22" s="233"/>
      <c r="K22" s="233"/>
      <c r="L22" s="233"/>
      <c r="M22" s="233"/>
    </row>
    <row r="23" spans="1:29" ht="25.35" customHeight="1" x14ac:dyDescent="0.7">
      <c r="A23" s="239"/>
      <c r="B23" s="239"/>
      <c r="C23" s="239"/>
      <c r="D23" s="239"/>
      <c r="E23" s="239"/>
      <c r="F23" s="239"/>
      <c r="G23" s="238"/>
      <c r="H23" s="233"/>
      <c r="I23" s="233"/>
      <c r="J23" s="233"/>
      <c r="K23" s="233"/>
      <c r="L23" s="233"/>
      <c r="M23" s="233"/>
    </row>
    <row r="24" spans="1:29" ht="25.35" customHeight="1" x14ac:dyDescent="0.7">
      <c r="A24" s="239"/>
      <c r="B24" s="239"/>
      <c r="C24" s="239"/>
      <c r="D24" s="239"/>
      <c r="E24" s="239"/>
      <c r="F24" s="239"/>
      <c r="G24" s="238"/>
      <c r="H24" s="233"/>
      <c r="I24" s="233"/>
      <c r="J24" s="233"/>
      <c r="K24" s="233"/>
      <c r="L24" s="233"/>
      <c r="M24" s="233"/>
    </row>
    <row r="25" spans="1:29" ht="25.35" customHeight="1" x14ac:dyDescent="0.7">
      <c r="A25" s="239"/>
      <c r="B25" s="239"/>
      <c r="C25" s="239"/>
      <c r="D25" s="239"/>
      <c r="E25" s="239"/>
      <c r="F25" s="239"/>
      <c r="G25" s="238"/>
      <c r="H25" s="233"/>
      <c r="I25" s="233"/>
      <c r="J25" s="233"/>
      <c r="K25" s="233"/>
      <c r="L25" s="233"/>
      <c r="M25" s="233"/>
    </row>
    <row r="26" spans="1:29" ht="25.35" customHeight="1" x14ac:dyDescent="0.7">
      <c r="A26" s="239"/>
      <c r="B26" s="239"/>
      <c r="C26" s="239"/>
      <c r="D26" s="239"/>
      <c r="E26" s="239"/>
      <c r="F26" s="239"/>
      <c r="G26" s="238"/>
      <c r="H26" s="233"/>
      <c r="I26" s="233"/>
      <c r="J26" s="233"/>
      <c r="K26" s="233"/>
      <c r="L26" s="233"/>
      <c r="M26" s="233"/>
    </row>
    <row r="27" spans="1:29" ht="25.35" customHeight="1" x14ac:dyDescent="0.7">
      <c r="A27" s="239"/>
      <c r="B27" s="239"/>
      <c r="C27" s="239"/>
      <c r="D27" s="239"/>
      <c r="E27" s="239"/>
      <c r="F27" s="239"/>
      <c r="G27" s="238"/>
      <c r="H27" s="233"/>
      <c r="I27" s="233"/>
      <c r="J27" s="233"/>
      <c r="K27" s="233"/>
      <c r="L27" s="233"/>
      <c r="M27" s="233"/>
    </row>
    <row r="28" spans="1:29" ht="25.35" customHeight="1" x14ac:dyDescent="0.7">
      <c r="A28" s="239"/>
      <c r="B28" s="239"/>
      <c r="C28" s="239"/>
      <c r="D28" s="239"/>
      <c r="E28" s="239"/>
      <c r="F28" s="239"/>
      <c r="G28" s="238"/>
      <c r="H28" s="233"/>
      <c r="I28" s="233"/>
      <c r="J28" s="233"/>
      <c r="K28" s="233"/>
      <c r="L28" s="233"/>
      <c r="M28" s="233"/>
    </row>
    <row r="29" spans="1:29" ht="25.35" customHeight="1" x14ac:dyDescent="0.7">
      <c r="A29" s="239"/>
      <c r="B29" s="239"/>
      <c r="C29" s="239"/>
      <c r="D29" s="239"/>
      <c r="E29" s="239"/>
      <c r="F29" s="239"/>
      <c r="G29" s="238"/>
      <c r="H29" s="233"/>
      <c r="I29" s="233"/>
      <c r="J29" s="233"/>
      <c r="K29" s="233"/>
      <c r="L29" s="233"/>
      <c r="M29" s="233"/>
    </row>
    <row r="30" spans="1:29" ht="25.35" customHeight="1" x14ac:dyDescent="0.7">
      <c r="A30" s="239"/>
      <c r="B30" s="239"/>
      <c r="C30" s="239"/>
      <c r="D30" s="239"/>
      <c r="E30" s="239"/>
      <c r="F30" s="239"/>
      <c r="G30" s="238"/>
      <c r="H30" s="233"/>
      <c r="I30" s="233"/>
      <c r="J30" s="233"/>
      <c r="K30" s="233"/>
      <c r="L30" s="233"/>
      <c r="M30" s="233"/>
    </row>
    <row r="31" spans="1:29" ht="25.35" customHeight="1" x14ac:dyDescent="0.7">
      <c r="A31" s="239"/>
      <c r="B31" s="239"/>
      <c r="C31" s="239"/>
      <c r="D31" s="239"/>
      <c r="E31" s="239"/>
      <c r="F31" s="239"/>
      <c r="G31" s="238"/>
      <c r="H31" s="233"/>
      <c r="I31" s="233"/>
      <c r="J31" s="233"/>
      <c r="K31" s="233"/>
      <c r="L31" s="233"/>
      <c r="M31" s="233"/>
    </row>
    <row r="32" spans="1:29" ht="25.35" customHeight="1" x14ac:dyDescent="0.7">
      <c r="A32" s="239"/>
      <c r="B32" s="239"/>
      <c r="C32" s="239"/>
      <c r="D32" s="239"/>
      <c r="E32" s="239"/>
      <c r="F32" s="239"/>
      <c r="G32" s="238"/>
      <c r="H32" s="233"/>
      <c r="I32" s="233"/>
      <c r="J32" s="233"/>
      <c r="K32" s="233"/>
      <c r="L32" s="233"/>
      <c r="M32" s="233"/>
    </row>
    <row r="33" spans="1:31" ht="25.35" customHeight="1" x14ac:dyDescent="0.7">
      <c r="A33" s="239"/>
      <c r="B33" s="239"/>
      <c r="C33" s="239"/>
      <c r="D33" s="239"/>
      <c r="E33" s="239"/>
      <c r="F33" s="239"/>
      <c r="G33" s="238"/>
      <c r="H33" s="233"/>
      <c r="I33" s="233"/>
      <c r="J33" s="233"/>
      <c r="K33" s="233"/>
      <c r="L33" s="233"/>
      <c r="M33" s="233"/>
    </row>
    <row r="34" spans="1:31" ht="25.35" customHeight="1" x14ac:dyDescent="0.7">
      <c r="A34" s="239"/>
      <c r="B34" s="239"/>
      <c r="C34" s="239"/>
      <c r="D34" s="239"/>
      <c r="E34" s="239"/>
      <c r="F34" s="239"/>
      <c r="G34" s="238"/>
      <c r="H34" s="233"/>
      <c r="I34" s="233"/>
      <c r="J34" s="233"/>
      <c r="K34" s="233"/>
      <c r="L34" s="233"/>
      <c r="M34" s="233"/>
    </row>
    <row r="35" spans="1:31" ht="25.35" customHeight="1" x14ac:dyDescent="0.7">
      <c r="A35" s="239"/>
      <c r="B35" s="239"/>
      <c r="C35" s="239"/>
      <c r="D35" s="239"/>
      <c r="E35" s="239"/>
      <c r="F35" s="239"/>
      <c r="G35" s="238"/>
      <c r="H35" s="233"/>
      <c r="I35" s="233"/>
      <c r="J35" s="233"/>
      <c r="K35" s="233"/>
      <c r="L35" s="233"/>
      <c r="M35" s="233"/>
    </row>
    <row r="36" spans="1:31" ht="25.35" customHeight="1" x14ac:dyDescent="0.7">
      <c r="A36" s="239"/>
      <c r="B36" s="239"/>
      <c r="C36" s="239"/>
      <c r="D36" s="239"/>
      <c r="E36" s="239"/>
      <c r="F36" s="239"/>
      <c r="G36" s="238"/>
      <c r="H36" s="233"/>
      <c r="I36" s="233"/>
      <c r="J36" s="233"/>
      <c r="K36" s="233"/>
      <c r="L36" s="233"/>
      <c r="M36" s="233"/>
    </row>
    <row r="37" spans="1:31" ht="25.35" customHeight="1" x14ac:dyDescent="0.7">
      <c r="A37" s="239"/>
      <c r="B37" s="239"/>
      <c r="C37" s="239"/>
      <c r="D37" s="239"/>
      <c r="E37" s="239"/>
      <c r="F37" s="239"/>
      <c r="G37" s="238"/>
      <c r="H37" s="233"/>
      <c r="I37" s="233"/>
      <c r="J37" s="233"/>
      <c r="K37" s="233"/>
      <c r="L37" s="233"/>
      <c r="M37" s="233"/>
    </row>
    <row r="38" spans="1:31" ht="25.35" customHeight="1" x14ac:dyDescent="0.7">
      <c r="A38" s="239"/>
      <c r="B38" s="239"/>
      <c r="C38" s="239"/>
      <c r="D38" s="239"/>
      <c r="E38" s="239"/>
      <c r="F38" s="239"/>
      <c r="G38" s="238"/>
      <c r="H38" s="233"/>
      <c r="I38" s="233"/>
      <c r="J38" s="233"/>
      <c r="K38" s="233"/>
      <c r="L38" s="233"/>
      <c r="M38" s="233"/>
    </row>
    <row r="39" spans="1:31" ht="25.35" customHeight="1" x14ac:dyDescent="0.7">
      <c r="A39" s="239"/>
      <c r="B39" s="239"/>
      <c r="C39" s="239"/>
      <c r="D39" s="239"/>
      <c r="E39" s="239"/>
      <c r="F39" s="239"/>
      <c r="G39" s="238"/>
      <c r="H39" s="233"/>
      <c r="I39" s="233"/>
      <c r="J39" s="233"/>
      <c r="K39" s="233"/>
      <c r="L39" s="233"/>
      <c r="M39" s="233"/>
    </row>
    <row r="40" spans="1:31" ht="25.35" customHeight="1" x14ac:dyDescent="0.7">
      <c r="A40" s="239"/>
      <c r="B40" s="239"/>
      <c r="C40" s="239"/>
      <c r="D40" s="239"/>
      <c r="E40" s="239"/>
      <c r="F40" s="239"/>
      <c r="G40" s="238"/>
      <c r="H40" s="233"/>
      <c r="I40" s="233"/>
      <c r="J40" s="233"/>
      <c r="K40" s="233"/>
      <c r="L40" s="233"/>
      <c r="M40" s="233"/>
    </row>
    <row r="41" spans="1:31" ht="25.35" customHeight="1" x14ac:dyDescent="0.7">
      <c r="A41" s="239"/>
      <c r="B41" s="239"/>
      <c r="C41" s="239"/>
      <c r="D41" s="239"/>
      <c r="E41" s="239"/>
      <c r="F41" s="239"/>
      <c r="G41" s="238"/>
      <c r="H41" s="233"/>
      <c r="I41" s="233"/>
      <c r="J41" s="233"/>
      <c r="K41" s="233"/>
      <c r="L41" s="233"/>
      <c r="M41" s="233"/>
    </row>
    <row r="42" spans="1:31" ht="25.35" customHeight="1" x14ac:dyDescent="0.7">
      <c r="A42" s="239"/>
      <c r="B42" s="239"/>
      <c r="C42" s="239"/>
      <c r="D42" s="239"/>
      <c r="E42" s="239"/>
      <c r="F42" s="239"/>
      <c r="G42" s="238"/>
      <c r="H42" s="233"/>
      <c r="I42" s="233"/>
      <c r="J42" s="233"/>
      <c r="K42" s="233"/>
      <c r="L42" s="233"/>
      <c r="M42" s="233"/>
    </row>
    <row r="43" spans="1:31" ht="30" customHeight="1" x14ac:dyDescent="1.1000000000000001">
      <c r="A43" s="245" t="s">
        <v>133</v>
      </c>
      <c r="B43" s="246"/>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7"/>
    </row>
    <row r="44" spans="1:31" ht="26.4" x14ac:dyDescent="0.9">
      <c r="A44" s="77" t="s">
        <v>137</v>
      </c>
      <c r="B44" s="78"/>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9"/>
    </row>
    <row r="45" spans="1:31" ht="24" x14ac:dyDescent="0.85">
      <c r="A45" s="201" t="s">
        <v>32</v>
      </c>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3"/>
    </row>
    <row r="46" spans="1:31" ht="25.35" customHeight="1" x14ac:dyDescent="0.7">
      <c r="A46" s="62"/>
      <c r="B46" s="12">
        <v>2023</v>
      </c>
      <c r="C46" s="12">
        <v>2024</v>
      </c>
      <c r="D46" s="12">
        <v>2025</v>
      </c>
      <c r="E46" s="12">
        <v>2026</v>
      </c>
      <c r="F46" s="12">
        <v>2027</v>
      </c>
      <c r="G46" s="12">
        <v>2028</v>
      </c>
      <c r="H46" s="12">
        <v>2029</v>
      </c>
      <c r="I46" s="12">
        <v>2030</v>
      </c>
      <c r="J46" s="12">
        <v>2031</v>
      </c>
      <c r="K46" s="12">
        <v>2032</v>
      </c>
      <c r="L46" s="12">
        <v>2033</v>
      </c>
      <c r="M46" s="12">
        <v>2034</v>
      </c>
      <c r="N46" s="12">
        <v>2035</v>
      </c>
      <c r="O46" s="12">
        <v>2036</v>
      </c>
      <c r="P46" s="12">
        <v>2037</v>
      </c>
      <c r="Q46" s="12">
        <v>2038</v>
      </c>
      <c r="R46" s="12">
        <v>2039</v>
      </c>
      <c r="S46" s="12">
        <v>2040</v>
      </c>
      <c r="T46" s="12">
        <v>2041</v>
      </c>
      <c r="U46" s="12">
        <v>2042</v>
      </c>
      <c r="V46" s="12">
        <v>2043</v>
      </c>
      <c r="W46" s="12">
        <v>2044</v>
      </c>
      <c r="X46" s="12">
        <v>2045</v>
      </c>
      <c r="Y46" s="12">
        <v>2046</v>
      </c>
      <c r="Z46" s="12">
        <v>2047</v>
      </c>
      <c r="AA46" s="12">
        <v>2048</v>
      </c>
      <c r="AB46" s="12">
        <v>2049</v>
      </c>
      <c r="AC46" s="11">
        <v>2050</v>
      </c>
    </row>
    <row r="47" spans="1:31" ht="24" x14ac:dyDescent="0.85">
      <c r="A47" s="248" t="s">
        <v>451</v>
      </c>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c r="AA47" s="249"/>
      <c r="AB47" s="249"/>
      <c r="AC47" s="250"/>
    </row>
    <row r="48" spans="1:31" x14ac:dyDescent="0.7">
      <c r="A48" s="117" t="s">
        <v>180</v>
      </c>
      <c r="B48" s="190">
        <v>1509268282.1700001</v>
      </c>
      <c r="C48" s="10">
        <f>($B$48*'Emission Factors and Constants'!$C$106)+((($B$48*'Emission Factors and Constants'!$C$104)/'Forecast Parameters'!$E$132)*'Forecast Parameters'!F132)+((($B$48*'Emission Factors and Constants'!$C$105)/'Forecast Parameters'!$E$139)*'Forecast Parameters'!F139)+'Baseline Building Energy'!C160</f>
        <v>1539615265.1321542</v>
      </c>
      <c r="D48" s="10">
        <f>($B$48*'Emission Factors and Constants'!$C$106)+((($B$48*'Emission Factors and Constants'!$C$104)/'Forecast Parameters'!$E$132)*'Forecast Parameters'!G132)+((($B$48*'Emission Factors and Constants'!$C$105)/'Forecast Parameters'!$E$139)*'Forecast Parameters'!G139)+'Baseline Building Energy'!D160</f>
        <v>1569995666.4805579</v>
      </c>
      <c r="E48" s="10">
        <f>($B$48*'Emission Factors and Constants'!$C$106)+((($B$48*'Emission Factors and Constants'!$C$104)/'Forecast Parameters'!$E$132)*'Forecast Parameters'!H132)+((($B$48*'Emission Factors and Constants'!$C$105)/'Forecast Parameters'!$E$139)*'Forecast Parameters'!H139)+'Baseline Building Energy'!E160</f>
        <v>1597365869.0980313</v>
      </c>
      <c r="F48" s="10">
        <f>($B$48*'Emission Factors and Constants'!$C$106)+((($B$48*'Emission Factors and Constants'!$C$104)/'Forecast Parameters'!$E$132)*'Forecast Parameters'!I132)+((($B$48*'Emission Factors and Constants'!$C$105)/'Forecast Parameters'!$E$139)*'Forecast Parameters'!I139)+'Baseline Building Energy'!F160</f>
        <v>1624793655.2986434</v>
      </c>
      <c r="G48" s="10">
        <f>($B$48*'Emission Factors and Constants'!$C$106)+((($B$48*'Emission Factors and Constants'!$C$104)/'Forecast Parameters'!$E$132)*'Forecast Parameters'!J132)+((($B$48*'Emission Factors and Constants'!$C$105)/'Forecast Parameters'!$E$139)*'Forecast Parameters'!J139)+'Baseline Building Energy'!G160</f>
        <v>1652286224.5979216</v>
      </c>
      <c r="H48" s="10">
        <f>($B$48*'Emission Factors and Constants'!$C$106)+((($B$48*'Emission Factors and Constants'!$C$104)/'Forecast Parameters'!$E$132)*'Forecast Parameters'!K132)+((($B$48*'Emission Factors and Constants'!$C$105)/'Forecast Parameters'!$E$139)*'Forecast Parameters'!K139)+'Baseline Building Energy'!H160</f>
        <v>1679852735.0372868</v>
      </c>
      <c r="I48" s="10">
        <f>($B$48*'Emission Factors and Constants'!$C$106)+((($B$48*'Emission Factors and Constants'!$C$104)/'Forecast Parameters'!$E$132)*'Forecast Parameters'!L132)+((($B$48*'Emission Factors and Constants'!$C$105)/'Forecast Parameters'!$E$139)*'Forecast Parameters'!L139)+'Baseline Building Energy'!I160</f>
        <v>1707494080.6093173</v>
      </c>
      <c r="J48" s="10">
        <f>($B$48*'Emission Factors and Constants'!$C$106)+((($B$48*'Emission Factors and Constants'!$C$104)/'Forecast Parameters'!$E$132)*'Forecast Parameters'!M132)+((($B$48*'Emission Factors and Constants'!$C$105)/'Forecast Parameters'!$E$139)*'Forecast Parameters'!M139)+'Baseline Building Energy'!J160</f>
        <v>1738008935.3586338</v>
      </c>
      <c r="K48" s="10">
        <f>($B$48*'Emission Factors and Constants'!$C$106)+((($B$48*'Emission Factors and Constants'!$C$104)/'Forecast Parameters'!$E$132)*'Forecast Parameters'!N132)+((($B$48*'Emission Factors and Constants'!$C$105)/'Forecast Parameters'!$E$139)*'Forecast Parameters'!N139)+'Baseline Building Energy'!K160</f>
        <v>1768583563.2074509</v>
      </c>
      <c r="L48" s="10">
        <f>($B$48*'Emission Factors and Constants'!$C$106)+((($B$48*'Emission Factors and Constants'!$C$104)/'Forecast Parameters'!$E$132)*'Forecast Parameters'!O132)+((($B$48*'Emission Factors and Constants'!$C$105)/'Forecast Parameters'!$E$139)*'Forecast Parameters'!O139)+'Baseline Building Energy'!L160</f>
        <v>1799225148.6160655</v>
      </c>
      <c r="M48" s="10">
        <f>($B$48*'Emission Factors and Constants'!$C$106)+((($B$48*'Emission Factors and Constants'!$C$104)/'Forecast Parameters'!$E$132)*'Forecast Parameters'!P132)+((($B$48*'Emission Factors and Constants'!$C$105)/'Forecast Parameters'!$E$139)*'Forecast Parameters'!P139)+'Baseline Building Energy'!M160</f>
        <v>1829920034.4245009</v>
      </c>
      <c r="N48" s="10">
        <f>($B$48*'Emission Factors and Constants'!$C$106)+((($B$48*'Emission Factors and Constants'!$C$104)/'Forecast Parameters'!$E$132)*'Forecast Parameters'!Q132)+((($B$48*'Emission Factors and Constants'!$C$105)/'Forecast Parameters'!$E$139)*'Forecast Parameters'!Q139)+'Baseline Building Energy'!N160</f>
        <v>1860642967.5599248</v>
      </c>
      <c r="O48" s="10">
        <f>($B$48*'Emission Factors and Constants'!$C$106)+((($B$48*'Emission Factors and Constants'!$C$104)/'Forecast Parameters'!$E$132)*'Forecast Parameters'!R132)+((($B$48*'Emission Factors and Constants'!$C$105)/'Forecast Parameters'!$E$139)*'Forecast Parameters'!R139)+'Baseline Building Energy'!O160</f>
        <v>1893959918.9540741</v>
      </c>
      <c r="P48" s="10">
        <f>($B$48*'Emission Factors and Constants'!$C$106)+((($B$48*'Emission Factors and Constants'!$C$104)/'Forecast Parameters'!$E$132)*'Forecast Parameters'!S132)+((($B$48*'Emission Factors and Constants'!$C$105)/'Forecast Parameters'!$E$139)*'Forecast Parameters'!S139)+'Baseline Building Energy'!P160</f>
        <v>1926666829.8288112</v>
      </c>
      <c r="Q48" s="10">
        <f>($B$48*'Emission Factors and Constants'!$C$106)+((($B$48*'Emission Factors and Constants'!$C$104)/'Forecast Parameters'!$E$132)*'Forecast Parameters'!T132)+((($B$48*'Emission Factors and Constants'!$C$105)/'Forecast Parameters'!$E$139)*'Forecast Parameters'!T139)+'Baseline Building Energy'!Q160</f>
        <v>1959365965.2153308</v>
      </c>
      <c r="R48" s="10">
        <f>($B$48*'Emission Factors and Constants'!$C$106)+((($B$48*'Emission Factors and Constants'!$C$104)/'Forecast Parameters'!$E$132)*'Forecast Parameters'!U132)+((($B$48*'Emission Factors and Constants'!$C$105)/'Forecast Parameters'!$E$139)*'Forecast Parameters'!U139)+'Baseline Building Energy'!R160</f>
        <v>1992055078.269387</v>
      </c>
      <c r="S48" s="10">
        <f>($B$48*'Emission Factors and Constants'!$C$106)+((($B$48*'Emission Factors and Constants'!$C$104)/'Forecast Parameters'!$E$132)*'Forecast Parameters'!V132)+((($B$48*'Emission Factors and Constants'!$C$105)/'Forecast Parameters'!$E$139)*'Forecast Parameters'!V139)+'Baseline Building Energy'!S160</f>
        <v>2024742384.3956945</v>
      </c>
      <c r="T48" s="10">
        <f>($B$48*'Emission Factors and Constants'!$C$106)+((($B$48*'Emission Factors and Constants'!$C$104)/'Forecast Parameters'!$E$132)*'Forecast Parameters'!W132)+((($B$48*'Emission Factors and Constants'!$C$105)/'Forecast Parameters'!$E$139)*'Forecast Parameters'!W139)+'Baseline Building Energy'!T160</f>
        <v>2049019721.8662925</v>
      </c>
      <c r="U48" s="10">
        <f>($B$48*'Emission Factors and Constants'!$C$106)+((($B$48*'Emission Factors and Constants'!$C$104)/'Forecast Parameters'!$E$132)*'Forecast Parameters'!X132)+((($B$48*'Emission Factors and Constants'!$C$105)/'Forecast Parameters'!$E$139)*'Forecast Parameters'!X139)+'Baseline Building Energy'!U160</f>
        <v>2073462178.9653068</v>
      </c>
      <c r="V48" s="10">
        <f>($B$48*'Emission Factors and Constants'!$C$106)+((($B$48*'Emission Factors and Constants'!$C$104)/'Forecast Parameters'!$E$132)*'Forecast Parameters'!Y132)+((($B$48*'Emission Factors and Constants'!$C$105)/'Forecast Parameters'!$E$139)*'Forecast Parameters'!Y139)+'Baseline Building Energy'!V160</f>
        <v>2098077410.2674661</v>
      </c>
      <c r="W48" s="10">
        <f>($B$48*'Emission Factors and Constants'!$C$106)+((($B$48*'Emission Factors and Constants'!$C$104)/'Forecast Parameters'!$E$132)*'Forecast Parameters'!Z132)+((($B$48*'Emission Factors and Constants'!$C$105)/'Forecast Parameters'!$E$139)*'Forecast Parameters'!Z139)+'Baseline Building Energy'!W160</f>
        <v>2122872523.1428409</v>
      </c>
      <c r="X48" s="10">
        <f>($B$48*'Emission Factors and Constants'!$C$106)+((($B$48*'Emission Factors and Constants'!$C$104)/'Forecast Parameters'!$E$132)*'Forecast Parameters'!AA132)+((($B$48*'Emission Factors and Constants'!$C$105)/'Forecast Parameters'!$E$139)*'Forecast Parameters'!AA139)+'Baseline Building Energy'!X160</f>
        <v>2147847003.5451188</v>
      </c>
      <c r="Y48" s="10">
        <f>($B$48*'Emission Factors and Constants'!$C$106)+((($B$48*'Emission Factors and Constants'!$C$104)/'Forecast Parameters'!$E$132)*'Forecast Parameters'!AB132)+((($B$48*'Emission Factors and Constants'!$C$105)/'Forecast Parameters'!$E$139)*'Forecast Parameters'!AB139)+'Baseline Building Energy'!Y160</f>
        <v>2181112708.7139125</v>
      </c>
      <c r="Z48" s="10">
        <f>($B$48*'Emission Factors and Constants'!$C$106)+((($B$48*'Emission Factors and Constants'!$C$104)/'Forecast Parameters'!$E$132)*'Forecast Parameters'!AC132)+((($B$48*'Emission Factors and Constants'!$C$105)/'Forecast Parameters'!$E$139)*'Forecast Parameters'!AC139)+'Baseline Building Energy'!Z160</f>
        <v>2214584593.5318956</v>
      </c>
      <c r="AA48" s="10">
        <f>($B$48*'Emission Factors and Constants'!$C$106)+((($B$48*'Emission Factors and Constants'!$C$104)/'Forecast Parameters'!$E$132)*'Forecast Parameters'!AD132)+((($B$48*'Emission Factors and Constants'!$C$105)/'Forecast Parameters'!$E$139)*'Forecast Parameters'!AD139)+'Baseline Building Energy'!AA160</f>
        <v>2248263757.5093961</v>
      </c>
      <c r="AB48" s="10">
        <f>($B$48*'Emission Factors and Constants'!$C$106)+((($B$48*'Emission Factors and Constants'!$C$104)/'Forecast Parameters'!$E$132)*'Forecast Parameters'!AE132)+((($B$48*'Emission Factors and Constants'!$C$105)/'Forecast Parameters'!$E$139)*'Forecast Parameters'!AE139)+'Baseline Building Energy'!AB160</f>
        <v>2282159630.3625793</v>
      </c>
      <c r="AC48" s="10">
        <f>($B$48*'Emission Factors and Constants'!$C$106)+((($B$48*'Emission Factors and Constants'!$C$104)/'Forecast Parameters'!$E$132)*'Forecast Parameters'!AF132)+((($B$48*'Emission Factors and Constants'!$C$105)/'Forecast Parameters'!$E$139)*'Forecast Parameters'!AF139)+'Baseline Building Energy'!AC160</f>
        <v>2316381418.8931274</v>
      </c>
      <c r="AD48" s="270"/>
      <c r="AE48" s="264"/>
    </row>
    <row r="49" spans="1:31" ht="25.35" customHeight="1" x14ac:dyDescent="0.7">
      <c r="A49" s="117" t="s">
        <v>464</v>
      </c>
      <c r="B49" s="190">
        <v>2311061172.9239993</v>
      </c>
      <c r="C49" s="10">
        <f>($B$49*'Emission Factors and Constants'!$B$113)+((($B$49*'Emission Factors and Constants'!$B$110)/'Forecast Parameters'!$E$132)*'Forecast Parameters'!F132)+((($B$49*'Emission Factors and Constants'!$B$111)/'Forecast Parameters'!$E$139)*'Forecast Parameters'!F139)+'Baseline Building Energy'!C161</f>
        <v>2352072905.4779291</v>
      </c>
      <c r="D49" s="10">
        <f>($B$49*'Emission Factors and Constants'!$B$113)+((($B$49*'Emission Factors and Constants'!$B$110)/'Forecast Parameters'!$E$132)*'Forecast Parameters'!G132)+((($B$49*'Emission Factors and Constants'!$B$111)/'Forecast Parameters'!$E$139)*'Forecast Parameters'!G139)+'Baseline Building Energy'!D161</f>
        <v>2393077859.3944578</v>
      </c>
      <c r="E49" s="10">
        <f>($B$49*'Emission Factors and Constants'!$B$113)+((($B$49*'Emission Factors and Constants'!$B$110)/'Forecast Parameters'!$E$132)*'Forecast Parameters'!H132)+((($B$49*'Emission Factors and Constants'!$B$111)/'Forecast Parameters'!$E$139)*'Forecast Parameters'!H139)+'Baseline Building Energy'!E161</f>
        <v>2429618642.1853867</v>
      </c>
      <c r="F49" s="10">
        <f>($B$49*'Emission Factors and Constants'!$B$113)+((($B$49*'Emission Factors and Constants'!$B$110)/'Forecast Parameters'!$E$132)*'Forecast Parameters'!I132)+((($B$49*'Emission Factors and Constants'!$B$111)/'Forecast Parameters'!$E$139)*'Forecast Parameters'!I139)+'Baseline Building Energy'!F161</f>
        <v>2466154020.0966673</v>
      </c>
      <c r="G49" s="10">
        <f>($B$49*'Emission Factors and Constants'!$B$113)+((($B$49*'Emission Factors and Constants'!$B$110)/'Forecast Parameters'!$E$132)*'Forecast Parameters'!J132)+((($B$49*'Emission Factors and Constants'!$B$111)/'Forecast Parameters'!$E$139)*'Forecast Parameters'!J139)+'Baseline Building Energy'!G161</f>
        <v>2502683924.9158249</v>
      </c>
      <c r="H49" s="10">
        <f>($B$49*'Emission Factors and Constants'!$B$113)+((($B$49*'Emission Factors and Constants'!$B$110)/'Forecast Parameters'!$E$132)*'Forecast Parameters'!K132)+((($B$49*'Emission Factors and Constants'!$B$111)/'Forecast Parameters'!$E$139)*'Forecast Parameters'!K139)+'Baseline Building Energy'!H161</f>
        <v>2539208253.6268215</v>
      </c>
      <c r="I49" s="10">
        <f>($B$49*'Emission Factors and Constants'!$B$113)+((($B$49*'Emission Factors and Constants'!$B$110)/'Forecast Parameters'!$E$132)*'Forecast Parameters'!L132)+((($B$49*'Emission Factors and Constants'!$B$111)/'Forecast Parameters'!$E$139)*'Forecast Parameters'!L139)+'Baseline Building Energy'!I161</f>
        <v>2575727213.1343822</v>
      </c>
      <c r="J49" s="10">
        <f>($B$49*'Emission Factors and Constants'!$B$113)+((($B$49*'Emission Factors and Constants'!$B$110)/'Forecast Parameters'!$E$132)*'Forecast Parameters'!M132)+((($B$49*'Emission Factors and Constants'!$B$111)/'Forecast Parameters'!$E$139)*'Forecast Parameters'!M139)+'Baseline Building Energy'!J161</f>
        <v>2615198061.2569389</v>
      </c>
      <c r="K49" s="10">
        <f>($B$49*'Emission Factors and Constants'!$B$113)+((($B$49*'Emission Factors and Constants'!$B$110)/'Forecast Parameters'!$E$132)*'Forecast Parameters'!N132)+((($B$49*'Emission Factors and Constants'!$B$111)/'Forecast Parameters'!$E$139)*'Forecast Parameters'!N139)+'Baseline Building Energy'!K161</f>
        <v>2654680370.9042268</v>
      </c>
      <c r="L49" s="10">
        <f>($B$49*'Emission Factors and Constants'!$B$113)+((($B$49*'Emission Factors and Constants'!$B$110)/'Forecast Parameters'!$E$132)*'Forecast Parameters'!O132)+((($B$49*'Emission Factors and Constants'!$B$111)/'Forecast Parameters'!$E$139)*'Forecast Parameters'!O139)+'Baseline Building Energy'!L161</f>
        <v>2694173799.0088243</v>
      </c>
      <c r="M49" s="10">
        <f>($B$49*'Emission Factors and Constants'!$B$113)+((($B$49*'Emission Factors and Constants'!$B$110)/'Forecast Parameters'!$E$132)*'Forecast Parameters'!P132)+((($B$49*'Emission Factors and Constants'!$B$111)/'Forecast Parameters'!$E$139)*'Forecast Parameters'!P139)+'Baseline Building Energy'!M161</f>
        <v>2733678041.9295101</v>
      </c>
      <c r="N49" s="10">
        <f>($B$49*'Emission Factors and Constants'!$B$113)+((($B$49*'Emission Factors and Constants'!$B$110)/'Forecast Parameters'!$E$132)*'Forecast Parameters'!Q132)+((($B$49*'Emission Factors and Constants'!$B$111)/'Forecast Parameters'!$E$139)*'Forecast Parameters'!Q139)+'Baseline Building Energy'!N161</f>
        <v>2773192525.5195465</v>
      </c>
      <c r="O49" s="10">
        <f>($B$49*'Emission Factors and Constants'!$B$113)+((($B$49*'Emission Factors and Constants'!$B$110)/'Forecast Parameters'!$E$132)*'Forecast Parameters'!R132)+((($B$49*'Emission Factors and Constants'!$B$111)/'Forecast Parameters'!$E$139)*'Forecast Parameters'!R139)+'Baseline Building Energy'!O161</f>
        <v>2818339914.5817747</v>
      </c>
      <c r="P49" s="10">
        <f>($B$49*'Emission Factors and Constants'!$B$113)+((($B$49*'Emission Factors and Constants'!$B$110)/'Forecast Parameters'!$E$132)*'Forecast Parameters'!S132)+((($B$49*'Emission Factors and Constants'!$B$111)/'Forecast Parameters'!$E$139)*'Forecast Parameters'!S139)+'Baseline Building Energy'!P161</f>
        <v>2863488680.4234753</v>
      </c>
      <c r="Q49" s="10">
        <f>($B$49*'Emission Factors and Constants'!$B$113)+((($B$49*'Emission Factors and Constants'!$B$110)/'Forecast Parameters'!$E$132)*'Forecast Parameters'!T132)+((($B$49*'Emission Factors and Constants'!$B$111)/'Forecast Parameters'!$E$139)*'Forecast Parameters'!T139)+'Baseline Building Energy'!Q161</f>
        <v>2908390344.3595009</v>
      </c>
      <c r="R49" s="10">
        <f>($B$49*'Emission Factors and Constants'!$B$113)+((($B$49*'Emission Factors and Constants'!$B$110)/'Forecast Parameters'!$E$132)*'Forecast Parameters'!U132)+((($B$49*'Emission Factors and Constants'!$B$111)/'Forecast Parameters'!$E$139)*'Forecast Parameters'!U139)+'Baseline Building Energy'!R161</f>
        <v>2953293591.2409506</v>
      </c>
      <c r="S49" s="10">
        <f>($B$49*'Emission Factors and Constants'!$B$113)+((($B$49*'Emission Factors and Constants'!$B$110)/'Forecast Parameters'!$E$132)*'Forecast Parameters'!V132)+((($B$49*'Emission Factors and Constants'!$B$111)/'Forecast Parameters'!$E$139)*'Forecast Parameters'!V139)+'Baseline Building Energy'!S161</f>
        <v>2998199307.2343268</v>
      </c>
      <c r="T49" s="10">
        <f>($B$49*'Emission Factors and Constants'!$B$113)+((($B$49*'Emission Factors and Constants'!$B$110)/'Forecast Parameters'!$E$132)*'Forecast Parameters'!W132)+((($B$49*'Emission Factors and Constants'!$B$111)/'Forecast Parameters'!$E$139)*'Forecast Parameters'!W139)+'Baseline Building Energy'!T161</f>
        <v>3031206427.9359384</v>
      </c>
      <c r="U49" s="10">
        <f>($B$49*'Emission Factors and Constants'!$B$113)+((($B$49*'Emission Factors and Constants'!$B$110)/'Forecast Parameters'!$E$132)*'Forecast Parameters'!X132)+((($B$49*'Emission Factors and Constants'!$B$111)/'Forecast Parameters'!$E$139)*'Forecast Parameters'!X139)+'Baseline Building Energy'!U161</f>
        <v>3064433073.0174637</v>
      </c>
      <c r="V49" s="10">
        <f>($B$49*'Emission Factors and Constants'!$B$113)+((($B$49*'Emission Factors and Constants'!$B$110)/'Forecast Parameters'!$E$132)*'Forecast Parameters'!Y132)+((($B$49*'Emission Factors and Constants'!$B$111)/'Forecast Parameters'!$E$139)*'Forecast Parameters'!Y139)+'Baseline Building Energy'!V161</f>
        <v>3097881087.4876022</v>
      </c>
      <c r="W49" s="10">
        <f>($B$49*'Emission Factors and Constants'!$B$113)+((($B$49*'Emission Factors and Constants'!$B$110)/'Forecast Parameters'!$E$132)*'Forecast Parameters'!Z132)+((($B$49*'Emission Factors and Constants'!$B$111)/'Forecast Parameters'!$E$139)*'Forecast Parameters'!Z139)+'Baseline Building Energy'!W161</f>
        <v>3131550677.5287724</v>
      </c>
      <c r="X49" s="10">
        <f>($B$49*'Emission Factors and Constants'!$B$113)+((($B$49*'Emission Factors and Constants'!$B$110)/'Forecast Parameters'!$E$132)*'Forecast Parameters'!AA132)+((($B$49*'Emission Factors and Constants'!$B$111)/'Forecast Parameters'!$E$139)*'Forecast Parameters'!AA139)+'Baseline Building Energy'!X161</f>
        <v>3165443976.6770287</v>
      </c>
      <c r="Y49" s="10">
        <f>($B$49*'Emission Factors and Constants'!$B$113)+((($B$49*'Emission Factors and Constants'!$B$110)/'Forecast Parameters'!$E$132)*'Forecast Parameters'!AB132)+((($B$49*'Emission Factors and Constants'!$B$111)/'Forecast Parameters'!$E$139)*'Forecast Parameters'!AB139)+'Baseline Building Energy'!Y161</f>
        <v>3210913900.7504563</v>
      </c>
      <c r="Z49" s="10">
        <f>($B$49*'Emission Factors and Constants'!$B$113)+((($B$49*'Emission Factors and Constants'!$B$110)/'Forecast Parameters'!$E$132)*'Forecast Parameters'!AC132)+((($B$49*'Emission Factors and Constants'!$B$111)/'Forecast Parameters'!$E$139)*'Forecast Parameters'!AC139)+'Baseline Building Energy'!Z161</f>
        <v>3256625708.2709036</v>
      </c>
      <c r="AA49" s="10">
        <f>($B$49*'Emission Factors and Constants'!$B$113)+((($B$49*'Emission Factors and Constants'!$B$110)/'Forecast Parameters'!$E$132)*'Forecast Parameters'!AD132)+((($B$49*'Emission Factors and Constants'!$B$111)/'Forecast Parameters'!$E$139)*'Forecast Parameters'!AD139)+'Baseline Building Energy'!AA161</f>
        <v>3302580929.5612831</v>
      </c>
      <c r="AB49" s="10">
        <f>($B$49*'Emission Factors and Constants'!$B$113)+((($B$49*'Emission Factors and Constants'!$B$110)/'Forecast Parameters'!$E$132)*'Forecast Parameters'!AE132)+((($B$49*'Emission Factors and Constants'!$B$111)/'Forecast Parameters'!$E$139)*'Forecast Parameters'!AE139)+'Baseline Building Energy'!AB161</f>
        <v>3348782098.2098703</v>
      </c>
      <c r="AC49" s="10">
        <f>($B$49*'Emission Factors and Constants'!$B$113)+((($B$49*'Emission Factors and Constants'!$B$110)/'Forecast Parameters'!$E$132)*'Forecast Parameters'!AF132)+((($B$49*'Emission Factors and Constants'!$B$111)/'Forecast Parameters'!$E$139)*'Forecast Parameters'!AF139)+'Baseline Building Energy'!AC161</f>
        <v>3395229843.2341213</v>
      </c>
      <c r="AD49" s="270"/>
      <c r="AE49" s="264"/>
    </row>
    <row r="50" spans="1:31" ht="25.35" customHeight="1" x14ac:dyDescent="0.7">
      <c r="A50" s="117" t="s">
        <v>115</v>
      </c>
      <c r="B50" s="50">
        <f>SUM(B48:B49)</f>
        <v>3820329455.0939994</v>
      </c>
      <c r="C50" s="50">
        <f t="shared" ref="C50:AC50" si="0">SUM(C48:C49)</f>
        <v>3891688170.6100836</v>
      </c>
      <c r="D50" s="50">
        <f t="shared" si="0"/>
        <v>3963073525.8750157</v>
      </c>
      <c r="E50" s="50">
        <f t="shared" si="0"/>
        <v>4026984511.2834177</v>
      </c>
      <c r="F50" s="50">
        <f t="shared" si="0"/>
        <v>4090947675.3953104</v>
      </c>
      <c r="G50" s="50">
        <f t="shared" si="0"/>
        <v>4154970149.5137463</v>
      </c>
      <c r="H50" s="50">
        <f t="shared" si="0"/>
        <v>4219060988.6641083</v>
      </c>
      <c r="I50" s="50">
        <f t="shared" si="0"/>
        <v>4283221293.7436996</v>
      </c>
      <c r="J50" s="50">
        <f t="shared" si="0"/>
        <v>4353206996.6155729</v>
      </c>
      <c r="K50" s="50">
        <f t="shared" si="0"/>
        <v>4423263934.1116772</v>
      </c>
      <c r="L50" s="50">
        <f t="shared" si="0"/>
        <v>4493398947.6248894</v>
      </c>
      <c r="M50" s="50">
        <f t="shared" si="0"/>
        <v>4563598076.3540115</v>
      </c>
      <c r="N50" s="50">
        <f t="shared" si="0"/>
        <v>4633835493.0794716</v>
      </c>
      <c r="O50" s="50">
        <f t="shared" si="0"/>
        <v>4712299833.5358486</v>
      </c>
      <c r="P50" s="50">
        <f t="shared" si="0"/>
        <v>4790155510.2522869</v>
      </c>
      <c r="Q50" s="50">
        <f t="shared" si="0"/>
        <v>4867756309.574832</v>
      </c>
      <c r="R50" s="50">
        <f t="shared" si="0"/>
        <v>4945348669.5103378</v>
      </c>
      <c r="S50" s="50">
        <f t="shared" si="0"/>
        <v>5022941691.6300211</v>
      </c>
      <c r="T50" s="50">
        <f t="shared" si="0"/>
        <v>5080226149.8022308</v>
      </c>
      <c r="U50" s="50">
        <f t="shared" si="0"/>
        <v>5137895251.9827709</v>
      </c>
      <c r="V50" s="50">
        <f t="shared" si="0"/>
        <v>5195958497.7550678</v>
      </c>
      <c r="W50" s="50">
        <f t="shared" si="0"/>
        <v>5254423200.6716137</v>
      </c>
      <c r="X50" s="50">
        <f t="shared" si="0"/>
        <v>5313290980.222147</v>
      </c>
      <c r="Y50" s="50">
        <f t="shared" si="0"/>
        <v>5392026609.4643688</v>
      </c>
      <c r="Z50" s="50">
        <f t="shared" si="0"/>
        <v>5471210301.8027992</v>
      </c>
      <c r="AA50" s="50">
        <f t="shared" si="0"/>
        <v>5550844687.0706787</v>
      </c>
      <c r="AB50" s="50">
        <f t="shared" si="0"/>
        <v>5630941728.5724497</v>
      </c>
      <c r="AC50" s="50">
        <f t="shared" si="0"/>
        <v>5711611262.1272488</v>
      </c>
    </row>
    <row r="51" spans="1:31" ht="25.35" customHeight="1" x14ac:dyDescent="0.7">
      <c r="A51" s="117" t="s">
        <v>181</v>
      </c>
      <c r="B51" s="190">
        <v>102267690.56056078</v>
      </c>
      <c r="C51" s="50">
        <f>C50*'Emission Factors and Constants'!$C$92</f>
        <v>104297242.97235024</v>
      </c>
      <c r="D51" s="50">
        <f>D50*'Emission Factors and Constants'!$C$92</f>
        <v>106210370.49345042</v>
      </c>
      <c r="E51" s="50">
        <f>E50*'Emission Factors and Constants'!$C$92</f>
        <v>107923184.90239559</v>
      </c>
      <c r="F51" s="50">
        <f>F50*'Emission Factors and Constants'!$C$92</f>
        <v>109637397.70059432</v>
      </c>
      <c r="G51" s="50">
        <f>G50*'Emission Factors and Constants'!$C$92</f>
        <v>111353200.00696841</v>
      </c>
      <c r="H51" s="50">
        <f>H50*'Emission Factors and Constants'!$C$92</f>
        <v>113070834.4961981</v>
      </c>
      <c r="I51" s="50">
        <f>I50*'Emission Factors and Constants'!$C$92</f>
        <v>114790330.67233115</v>
      </c>
      <c r="J51" s="50">
        <f>J50*'Emission Factors and Constants'!$C$92</f>
        <v>116665947.50929736</v>
      </c>
      <c r="K51" s="50">
        <f>K50*'Emission Factors and Constants'!$C$92</f>
        <v>118543473.43419296</v>
      </c>
      <c r="L51" s="50">
        <f>L50*'Emission Factors and Constants'!$C$92</f>
        <v>120423091.79634704</v>
      </c>
      <c r="M51" s="50">
        <f>M50*'Emission Factors and Constants'!$C$92</f>
        <v>122304428.44628751</v>
      </c>
      <c r="N51" s="50">
        <f>N50*'Emission Factors and Constants'!$C$92</f>
        <v>124186791.21452984</v>
      </c>
      <c r="O51" s="50">
        <f>O50*'Emission Factors and Constants'!$C$92</f>
        <v>126289635.53876075</v>
      </c>
      <c r="P51" s="50">
        <f>P50*'Emission Factors and Constants'!$C$92</f>
        <v>128376167.6747613</v>
      </c>
      <c r="Q51" s="50">
        <f>Q50*'Emission Factors and Constants'!$C$92</f>
        <v>130455869.09660549</v>
      </c>
      <c r="R51" s="50">
        <f>R50*'Emission Factors and Constants'!$C$92</f>
        <v>132535344.34287706</v>
      </c>
      <c r="S51" s="50">
        <f>S50*'Emission Factors and Constants'!$C$92</f>
        <v>134614837.33568457</v>
      </c>
      <c r="T51" s="50">
        <f>T50*'Emission Factors and Constants'!$C$92</f>
        <v>136150060.8146998</v>
      </c>
      <c r="U51" s="50">
        <f>U50*'Emission Factors and Constants'!$C$92</f>
        <v>137695592.75313827</v>
      </c>
      <c r="V51" s="50">
        <f>V50*'Emission Factors and Constants'!$C$92</f>
        <v>139251687.73983583</v>
      </c>
      <c r="W51" s="50">
        <f>W50*'Emission Factors and Constants'!$C$92</f>
        <v>140818541.77799925</v>
      </c>
      <c r="X51" s="50">
        <f>X50*'Emission Factors and Constants'!$C$92</f>
        <v>142396198.26995355</v>
      </c>
      <c r="Y51" s="50">
        <f>Y50*'Emission Factors and Constants'!$C$92</f>
        <v>144506313.13364509</v>
      </c>
      <c r="Z51" s="50">
        <f>Z50*'Emission Factors and Constants'!$C$92</f>
        <v>146628436.08831501</v>
      </c>
      <c r="AA51" s="50">
        <f>AA50*'Emission Factors and Constants'!$C$92</f>
        <v>148762637.61349419</v>
      </c>
      <c r="AB51" s="50">
        <f>AB50*'Emission Factors and Constants'!$C$92</f>
        <v>150909238.32574165</v>
      </c>
      <c r="AC51" s="50">
        <f>AC50*'Emission Factors and Constants'!$C$92</f>
        <v>153071181.82501027</v>
      </c>
    </row>
    <row r="52" spans="1:31" ht="25.35" customHeight="1" x14ac:dyDescent="0.85">
      <c r="A52" s="248" t="s">
        <v>452</v>
      </c>
      <c r="B52" s="191"/>
      <c r="C52" s="249"/>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50"/>
    </row>
    <row r="53" spans="1:31" ht="25.35" customHeight="1" x14ac:dyDescent="0.7">
      <c r="A53" s="117" t="s">
        <v>180</v>
      </c>
      <c r="B53" s="190">
        <v>0</v>
      </c>
      <c r="C53" s="10">
        <f>($B$53*'Emission Factors and Constants'!$C$106)+((($B$53*'Emission Factors and Constants'!$C$104)/'Forecast Parameters'!$E$132)*'Forecast Parameters'!F132)+((($B$53*'Emission Factors and Constants'!$C$105)/'Forecast Parameters'!$E$139)*'Forecast Parameters'!F139)+'Baseline Building Energy'!C162</f>
        <v>0</v>
      </c>
      <c r="D53" s="10">
        <f>($B$53*'Emission Factors and Constants'!$C$106)+((($B$53*'Emission Factors and Constants'!$C$104)/'Forecast Parameters'!$E$132)*'Forecast Parameters'!G132)+((($B$53*'Emission Factors and Constants'!$C$105)/'Forecast Parameters'!$E$139)*'Forecast Parameters'!G139)+'Baseline Building Energy'!D162</f>
        <v>0</v>
      </c>
      <c r="E53" s="10">
        <f>($B$53*'Emission Factors and Constants'!$C$106)+((($B$53*'Emission Factors and Constants'!$C$104)/'Forecast Parameters'!$E$132)*'Forecast Parameters'!H132)+((($B$53*'Emission Factors and Constants'!$C$105)/'Forecast Parameters'!$E$139)*'Forecast Parameters'!H139)+'Baseline Building Energy'!E162</f>
        <v>0</v>
      </c>
      <c r="F53" s="10">
        <f>($B$53*'Emission Factors and Constants'!$C$106)+((($B$53*'Emission Factors and Constants'!$C$104)/'Forecast Parameters'!$E$132)*'Forecast Parameters'!I132)+((($B$53*'Emission Factors and Constants'!$C$105)/'Forecast Parameters'!$E$139)*'Forecast Parameters'!I139)+'Baseline Building Energy'!F162</f>
        <v>0</v>
      </c>
      <c r="G53" s="10">
        <f>($B$53*'Emission Factors and Constants'!$C$106)+((($B$53*'Emission Factors and Constants'!$C$104)/'Forecast Parameters'!$E$132)*'Forecast Parameters'!J132)+((($B$53*'Emission Factors and Constants'!$C$105)/'Forecast Parameters'!$E$139)*'Forecast Parameters'!J139)+'Baseline Building Energy'!G162</f>
        <v>0</v>
      </c>
      <c r="H53" s="10">
        <f>($B$53*'Emission Factors and Constants'!$C$106)+((($B$53*'Emission Factors and Constants'!$C$104)/'Forecast Parameters'!$E$132)*'Forecast Parameters'!K132)+((($B$53*'Emission Factors and Constants'!$C$105)/'Forecast Parameters'!$E$139)*'Forecast Parameters'!K139)+'Baseline Building Energy'!H162</f>
        <v>0</v>
      </c>
      <c r="I53" s="10">
        <f>($B$53*'Emission Factors and Constants'!$C$106)+((($B$53*'Emission Factors and Constants'!$C$104)/'Forecast Parameters'!$E$132)*'Forecast Parameters'!L132)+((($B$53*'Emission Factors and Constants'!$C$105)/'Forecast Parameters'!$E$139)*'Forecast Parameters'!L139)+'Baseline Building Energy'!I162</f>
        <v>0</v>
      </c>
      <c r="J53" s="10">
        <f>($B$53*'Emission Factors and Constants'!$C$106)+((($B$53*'Emission Factors and Constants'!$C$104)/'Forecast Parameters'!$E$132)*'Forecast Parameters'!M132)+((($B$53*'Emission Factors and Constants'!$C$105)/'Forecast Parameters'!$E$139)*'Forecast Parameters'!M139)+'Baseline Building Energy'!J162</f>
        <v>0</v>
      </c>
      <c r="K53" s="10">
        <f>($B$53*'Emission Factors and Constants'!$C$106)+((($B$53*'Emission Factors and Constants'!$C$104)/'Forecast Parameters'!$E$132)*'Forecast Parameters'!N132)+((($B$53*'Emission Factors and Constants'!$C$105)/'Forecast Parameters'!$E$139)*'Forecast Parameters'!N139)+'Baseline Building Energy'!K162</f>
        <v>0</v>
      </c>
      <c r="L53" s="10">
        <f>($B$53*'Emission Factors and Constants'!$C$106)+((($B$53*'Emission Factors and Constants'!$C$104)/'Forecast Parameters'!$E$132)*'Forecast Parameters'!O132)+((($B$53*'Emission Factors and Constants'!$C$105)/'Forecast Parameters'!$E$139)*'Forecast Parameters'!O139)+'Baseline Building Energy'!L162</f>
        <v>0</v>
      </c>
      <c r="M53" s="10">
        <f>($B$53*'Emission Factors and Constants'!$C$106)+((($B$53*'Emission Factors and Constants'!$C$104)/'Forecast Parameters'!$E$132)*'Forecast Parameters'!P132)+((($B$53*'Emission Factors and Constants'!$C$105)/'Forecast Parameters'!$E$139)*'Forecast Parameters'!P139)+'Baseline Building Energy'!M162</f>
        <v>0</v>
      </c>
      <c r="N53" s="10">
        <f>($B$53*'Emission Factors and Constants'!$C$106)+((($B$53*'Emission Factors and Constants'!$C$104)/'Forecast Parameters'!$E$132)*'Forecast Parameters'!Q132)+((($B$53*'Emission Factors and Constants'!$C$105)/'Forecast Parameters'!$E$139)*'Forecast Parameters'!Q139)+'Baseline Building Energy'!N162</f>
        <v>0</v>
      </c>
      <c r="O53" s="10">
        <f>($B$53*'Emission Factors and Constants'!$C$106)+((($B$53*'Emission Factors and Constants'!$C$104)/'Forecast Parameters'!$E$132)*'Forecast Parameters'!R132)+((($B$53*'Emission Factors and Constants'!$C$105)/'Forecast Parameters'!$E$139)*'Forecast Parameters'!R139)+'Baseline Building Energy'!O162</f>
        <v>0</v>
      </c>
      <c r="P53" s="10">
        <f>($B$53*'Emission Factors and Constants'!$C$106)+((($B$53*'Emission Factors and Constants'!$C$104)/'Forecast Parameters'!$E$132)*'Forecast Parameters'!S132)+((($B$53*'Emission Factors and Constants'!$C$105)/'Forecast Parameters'!$E$139)*'Forecast Parameters'!S139)+'Baseline Building Energy'!P162</f>
        <v>0</v>
      </c>
      <c r="Q53" s="10">
        <f>($B$53*'Emission Factors and Constants'!$C$106)+((($B$53*'Emission Factors and Constants'!$C$104)/'Forecast Parameters'!$E$132)*'Forecast Parameters'!T132)+((($B$53*'Emission Factors and Constants'!$C$105)/'Forecast Parameters'!$E$139)*'Forecast Parameters'!T139)+'Baseline Building Energy'!Q162</f>
        <v>0</v>
      </c>
      <c r="R53" s="10">
        <f>($B$53*'Emission Factors and Constants'!$C$106)+((($B$53*'Emission Factors and Constants'!$C$104)/'Forecast Parameters'!$E$132)*'Forecast Parameters'!U132)+((($B$53*'Emission Factors and Constants'!$C$105)/'Forecast Parameters'!$E$139)*'Forecast Parameters'!U139)+'Baseline Building Energy'!R162</f>
        <v>0</v>
      </c>
      <c r="S53" s="10">
        <f>($B$53*'Emission Factors and Constants'!$C$106)+((($B$53*'Emission Factors and Constants'!$C$104)/'Forecast Parameters'!$E$132)*'Forecast Parameters'!V132)+((($B$53*'Emission Factors and Constants'!$C$105)/'Forecast Parameters'!$E$139)*'Forecast Parameters'!V139)+'Baseline Building Energy'!S162</f>
        <v>0</v>
      </c>
      <c r="T53" s="10">
        <f>($B$53*'Emission Factors and Constants'!$C$106)+((($B$53*'Emission Factors and Constants'!$C$104)/'Forecast Parameters'!$E$132)*'Forecast Parameters'!W132)+((($B$53*'Emission Factors and Constants'!$C$105)/'Forecast Parameters'!$E$139)*'Forecast Parameters'!W139)+'Baseline Building Energy'!T162</f>
        <v>0</v>
      </c>
      <c r="U53" s="10">
        <f>($B$53*'Emission Factors and Constants'!$C$106)+((($B$53*'Emission Factors and Constants'!$C$104)/'Forecast Parameters'!$E$132)*'Forecast Parameters'!X132)+((($B$53*'Emission Factors and Constants'!$C$105)/'Forecast Parameters'!$E$139)*'Forecast Parameters'!X139)+'Baseline Building Energy'!U162</f>
        <v>0</v>
      </c>
      <c r="V53" s="10">
        <f>($B$53*'Emission Factors and Constants'!$C$106)+((($B$53*'Emission Factors and Constants'!$C$104)/'Forecast Parameters'!$E$132)*'Forecast Parameters'!Y132)+((($B$53*'Emission Factors and Constants'!$C$105)/'Forecast Parameters'!$E$139)*'Forecast Parameters'!Y139)+'Baseline Building Energy'!V162</f>
        <v>0</v>
      </c>
      <c r="W53" s="10">
        <f>($B$53*'Emission Factors and Constants'!$C$106)+((($B$53*'Emission Factors and Constants'!$C$104)/'Forecast Parameters'!$E$132)*'Forecast Parameters'!Z132)+((($B$53*'Emission Factors and Constants'!$C$105)/'Forecast Parameters'!$E$139)*'Forecast Parameters'!Z139)+'Baseline Building Energy'!W162</f>
        <v>0</v>
      </c>
      <c r="X53" s="10">
        <f>($B$53*'Emission Factors and Constants'!$C$106)+((($B$53*'Emission Factors and Constants'!$C$104)/'Forecast Parameters'!$E$132)*'Forecast Parameters'!AA132)+((($B$53*'Emission Factors and Constants'!$C$105)/'Forecast Parameters'!$E$139)*'Forecast Parameters'!AA139)+'Baseline Building Energy'!X162</f>
        <v>0</v>
      </c>
      <c r="Y53" s="10">
        <f>($B$53*'Emission Factors and Constants'!$C$106)+((($B$53*'Emission Factors and Constants'!$C$104)/'Forecast Parameters'!$E$132)*'Forecast Parameters'!AB132)+((($B$53*'Emission Factors and Constants'!$C$105)/'Forecast Parameters'!$E$139)*'Forecast Parameters'!AB139)+'Baseline Building Energy'!Y162</f>
        <v>0</v>
      </c>
      <c r="Z53" s="10">
        <f>($B$53*'Emission Factors and Constants'!$C$106)+((($B$53*'Emission Factors and Constants'!$C$104)/'Forecast Parameters'!$E$132)*'Forecast Parameters'!AC132)+((($B$53*'Emission Factors and Constants'!$C$105)/'Forecast Parameters'!$E$139)*'Forecast Parameters'!AC139)+'Baseline Building Energy'!Z162</f>
        <v>0</v>
      </c>
      <c r="AA53" s="10">
        <f>($B$53*'Emission Factors and Constants'!$C$106)+((($B$53*'Emission Factors and Constants'!$C$104)/'Forecast Parameters'!$E$132)*'Forecast Parameters'!AD132)+((($B$53*'Emission Factors and Constants'!$C$105)/'Forecast Parameters'!$E$139)*'Forecast Parameters'!AD139)+'Baseline Building Energy'!AA162</f>
        <v>0</v>
      </c>
      <c r="AB53" s="10">
        <f>($B$53*'Emission Factors and Constants'!$C$106)+((($B$53*'Emission Factors and Constants'!$C$104)/'Forecast Parameters'!$E$132)*'Forecast Parameters'!AE132)+((($B$53*'Emission Factors and Constants'!$C$105)/'Forecast Parameters'!$E$139)*'Forecast Parameters'!AE139)+'Baseline Building Energy'!AB162</f>
        <v>0</v>
      </c>
      <c r="AC53" s="10">
        <f>($B$53*'Emission Factors and Constants'!$C$106)+((($B$53*'Emission Factors and Constants'!$C$104)/'Forecast Parameters'!$E$132)*'Forecast Parameters'!AF132)+((($B$53*'Emission Factors and Constants'!$C$105)/'Forecast Parameters'!$E$139)*'Forecast Parameters'!AF139)+'Baseline Building Energy'!AC162</f>
        <v>0</v>
      </c>
    </row>
    <row r="54" spans="1:31" ht="25.35" customHeight="1" x14ac:dyDescent="0.7">
      <c r="A54" s="117" t="s">
        <v>464</v>
      </c>
      <c r="B54" s="190">
        <v>0</v>
      </c>
      <c r="C54" s="10">
        <f>($B$54*'Emission Factors and Constants'!$B$113)+((($B$54*'Emission Factors and Constants'!$B$110)/'Forecast Parameters'!$E$132)*'Forecast Parameters'!F132)+((($B$54*'Emission Factors and Constants'!$B$111)/'Forecast Parameters'!$E$139)*'Forecast Parameters'!F139)+'Baseline Building Energy'!C163</f>
        <v>0</v>
      </c>
      <c r="D54" s="10">
        <f>($B$54*'Emission Factors and Constants'!$B$113)+((($B$54*'Emission Factors and Constants'!$B$110)/'Forecast Parameters'!$E$132)*'Forecast Parameters'!G132)+((($B$54*'Emission Factors and Constants'!$B$111)/'Forecast Parameters'!$E$139)*'Forecast Parameters'!G139)+'Baseline Building Energy'!D163</f>
        <v>0</v>
      </c>
      <c r="E54" s="10">
        <f>($B$54*'Emission Factors and Constants'!$B$113)+((($B$54*'Emission Factors and Constants'!$B$110)/'Forecast Parameters'!$E$132)*'Forecast Parameters'!H132)+((($B$54*'Emission Factors and Constants'!$B$111)/'Forecast Parameters'!$E$139)*'Forecast Parameters'!H139)+'Baseline Building Energy'!E163</f>
        <v>0</v>
      </c>
      <c r="F54" s="10">
        <f>($B$54*'Emission Factors and Constants'!$B$113)+((($B$54*'Emission Factors and Constants'!$B$110)/'Forecast Parameters'!$E$132)*'Forecast Parameters'!I132)+((($B$54*'Emission Factors and Constants'!$B$111)/'Forecast Parameters'!$E$139)*'Forecast Parameters'!I139)+'Baseline Building Energy'!F163</f>
        <v>0</v>
      </c>
      <c r="G54" s="10">
        <f>($B$54*'Emission Factors and Constants'!$B$113)+((($B$54*'Emission Factors and Constants'!$B$110)/'Forecast Parameters'!$E$132)*'Forecast Parameters'!J132)+((($B$54*'Emission Factors and Constants'!$B$111)/'Forecast Parameters'!$E$139)*'Forecast Parameters'!J139)+'Baseline Building Energy'!G163</f>
        <v>0</v>
      </c>
      <c r="H54" s="10">
        <f>($B$54*'Emission Factors and Constants'!$B$113)+((($B$54*'Emission Factors and Constants'!$B$110)/'Forecast Parameters'!$E$132)*'Forecast Parameters'!K132)+((($B$54*'Emission Factors and Constants'!$B$111)/'Forecast Parameters'!$E$139)*'Forecast Parameters'!K139)+'Baseline Building Energy'!H163</f>
        <v>0</v>
      </c>
      <c r="I54" s="10">
        <f>($B$54*'Emission Factors and Constants'!$B$113)+((($B$54*'Emission Factors and Constants'!$B$110)/'Forecast Parameters'!$E$132)*'Forecast Parameters'!L132)+((($B$54*'Emission Factors and Constants'!$B$111)/'Forecast Parameters'!$E$139)*'Forecast Parameters'!L139)+'Baseline Building Energy'!I163</f>
        <v>0</v>
      </c>
      <c r="J54" s="10">
        <f>($B$54*'Emission Factors and Constants'!$B$113)+((($B$54*'Emission Factors and Constants'!$B$110)/'Forecast Parameters'!$E$132)*'Forecast Parameters'!M132)+((($B$54*'Emission Factors and Constants'!$B$111)/'Forecast Parameters'!$E$139)*'Forecast Parameters'!M139)+'Baseline Building Energy'!J163</f>
        <v>0</v>
      </c>
      <c r="K54" s="10">
        <f>($B$54*'Emission Factors and Constants'!$B$113)+((($B$54*'Emission Factors and Constants'!$B$110)/'Forecast Parameters'!$E$132)*'Forecast Parameters'!N132)+((($B$54*'Emission Factors and Constants'!$B$111)/'Forecast Parameters'!$E$139)*'Forecast Parameters'!N139)+'Baseline Building Energy'!K163</f>
        <v>0</v>
      </c>
      <c r="L54" s="10">
        <f>($B$54*'Emission Factors and Constants'!$B$113)+((($B$54*'Emission Factors and Constants'!$B$110)/'Forecast Parameters'!$E$132)*'Forecast Parameters'!O132)+((($B$54*'Emission Factors and Constants'!$B$111)/'Forecast Parameters'!$E$139)*'Forecast Parameters'!O139)+'Baseline Building Energy'!L163</f>
        <v>0</v>
      </c>
      <c r="M54" s="10">
        <f>($B$54*'Emission Factors and Constants'!$B$113)+((($B$54*'Emission Factors and Constants'!$B$110)/'Forecast Parameters'!$E$132)*'Forecast Parameters'!P132)+((($B$54*'Emission Factors and Constants'!$B$111)/'Forecast Parameters'!$E$139)*'Forecast Parameters'!P139)+'Baseline Building Energy'!M163</f>
        <v>0</v>
      </c>
      <c r="N54" s="10">
        <f>($B$54*'Emission Factors and Constants'!$B$113)+((($B$54*'Emission Factors and Constants'!$B$110)/'Forecast Parameters'!$E$132)*'Forecast Parameters'!Q132)+((($B$54*'Emission Factors and Constants'!$B$111)/'Forecast Parameters'!$E$139)*'Forecast Parameters'!Q139)+'Baseline Building Energy'!N163</f>
        <v>0</v>
      </c>
      <c r="O54" s="10">
        <f>($B$54*'Emission Factors and Constants'!$B$113)+((($B$54*'Emission Factors and Constants'!$B$110)/'Forecast Parameters'!$E$132)*'Forecast Parameters'!R132)+((($B$54*'Emission Factors and Constants'!$B$111)/'Forecast Parameters'!$E$139)*'Forecast Parameters'!R139)+'Baseline Building Energy'!O163</f>
        <v>0</v>
      </c>
      <c r="P54" s="10">
        <f>($B$54*'Emission Factors and Constants'!$B$113)+((($B$54*'Emission Factors and Constants'!$B$110)/'Forecast Parameters'!$E$132)*'Forecast Parameters'!S132)+((($B$54*'Emission Factors and Constants'!$B$111)/'Forecast Parameters'!$E$139)*'Forecast Parameters'!S139)+'Baseline Building Energy'!P163</f>
        <v>0</v>
      </c>
      <c r="Q54" s="10">
        <f>($B$54*'Emission Factors and Constants'!$B$113)+((($B$54*'Emission Factors and Constants'!$B$110)/'Forecast Parameters'!$E$132)*'Forecast Parameters'!T132)+((($B$54*'Emission Factors and Constants'!$B$111)/'Forecast Parameters'!$E$139)*'Forecast Parameters'!T139)+'Baseline Building Energy'!Q163</f>
        <v>0</v>
      </c>
      <c r="R54" s="10">
        <f>($B$54*'Emission Factors and Constants'!$B$113)+((($B$54*'Emission Factors and Constants'!$B$110)/'Forecast Parameters'!$E$132)*'Forecast Parameters'!U132)+((($B$54*'Emission Factors and Constants'!$B$111)/'Forecast Parameters'!$E$139)*'Forecast Parameters'!U139)+'Baseline Building Energy'!R163</f>
        <v>0</v>
      </c>
      <c r="S54" s="10">
        <f>($B$54*'Emission Factors and Constants'!$B$113)+((($B$54*'Emission Factors and Constants'!$B$110)/'Forecast Parameters'!$E$132)*'Forecast Parameters'!V132)+((($B$54*'Emission Factors and Constants'!$B$111)/'Forecast Parameters'!$E$139)*'Forecast Parameters'!V139)+'Baseline Building Energy'!S163</f>
        <v>0</v>
      </c>
      <c r="T54" s="10">
        <f>($B$54*'Emission Factors and Constants'!$B$113)+((($B$54*'Emission Factors and Constants'!$B$110)/'Forecast Parameters'!$E$132)*'Forecast Parameters'!W132)+((($B$54*'Emission Factors and Constants'!$B$111)/'Forecast Parameters'!$E$139)*'Forecast Parameters'!W139)+'Baseline Building Energy'!T163</f>
        <v>0</v>
      </c>
      <c r="U54" s="10">
        <f>($B$54*'Emission Factors and Constants'!$B$113)+((($B$54*'Emission Factors and Constants'!$B$110)/'Forecast Parameters'!$E$132)*'Forecast Parameters'!X132)+((($B$54*'Emission Factors and Constants'!$B$111)/'Forecast Parameters'!$E$139)*'Forecast Parameters'!X139)+'Baseline Building Energy'!U163</f>
        <v>0</v>
      </c>
      <c r="V54" s="10">
        <f>($B$54*'Emission Factors and Constants'!$B$113)+((($B$54*'Emission Factors and Constants'!$B$110)/'Forecast Parameters'!$E$132)*'Forecast Parameters'!Y132)+((($B$54*'Emission Factors and Constants'!$B$111)/'Forecast Parameters'!$E$139)*'Forecast Parameters'!Y139)+'Baseline Building Energy'!V163</f>
        <v>0</v>
      </c>
      <c r="W54" s="10">
        <f>($B$54*'Emission Factors and Constants'!$B$113)+((($B$54*'Emission Factors and Constants'!$B$110)/'Forecast Parameters'!$E$132)*'Forecast Parameters'!Z132)+((($B$54*'Emission Factors and Constants'!$B$111)/'Forecast Parameters'!$E$139)*'Forecast Parameters'!Z139)+'Baseline Building Energy'!W163</f>
        <v>0</v>
      </c>
      <c r="X54" s="10">
        <f>($B$54*'Emission Factors and Constants'!$B$113)+((($B$54*'Emission Factors and Constants'!$B$110)/'Forecast Parameters'!$E$132)*'Forecast Parameters'!AA132)+((($B$54*'Emission Factors and Constants'!$B$111)/'Forecast Parameters'!$E$139)*'Forecast Parameters'!AA139)+'Baseline Building Energy'!X163</f>
        <v>0</v>
      </c>
      <c r="Y54" s="10">
        <f>($B$54*'Emission Factors and Constants'!$B$113)+((($B$54*'Emission Factors and Constants'!$B$110)/'Forecast Parameters'!$E$132)*'Forecast Parameters'!AB132)+((($B$54*'Emission Factors and Constants'!$B$111)/'Forecast Parameters'!$E$139)*'Forecast Parameters'!AB139)+'Baseline Building Energy'!Y163</f>
        <v>0</v>
      </c>
      <c r="Z54" s="10">
        <f>($B$54*'Emission Factors and Constants'!$B$113)+((($B$54*'Emission Factors and Constants'!$B$110)/'Forecast Parameters'!$E$132)*'Forecast Parameters'!AC132)+((($B$54*'Emission Factors and Constants'!$B$111)/'Forecast Parameters'!$E$139)*'Forecast Parameters'!AC139)+'Baseline Building Energy'!Z163</f>
        <v>0</v>
      </c>
      <c r="AA54" s="10">
        <f>($B$54*'Emission Factors and Constants'!$B$113)+((($B$54*'Emission Factors and Constants'!$B$110)/'Forecast Parameters'!$E$132)*'Forecast Parameters'!AD132)+((($B$54*'Emission Factors and Constants'!$B$111)/'Forecast Parameters'!$E$139)*'Forecast Parameters'!AD139)+'Baseline Building Energy'!AA163</f>
        <v>0</v>
      </c>
      <c r="AB54" s="10">
        <f>($B$54*'Emission Factors and Constants'!$B$113)+((($B$54*'Emission Factors and Constants'!$B$110)/'Forecast Parameters'!$E$132)*'Forecast Parameters'!AE132)+((($B$54*'Emission Factors and Constants'!$B$111)/'Forecast Parameters'!$E$139)*'Forecast Parameters'!AE139)+'Baseline Building Energy'!AB163</f>
        <v>0</v>
      </c>
      <c r="AC54" s="10">
        <f>($B$54*'Emission Factors and Constants'!$B$113)+((($B$54*'Emission Factors and Constants'!$B$110)/'Forecast Parameters'!$E$132)*'Forecast Parameters'!AF132)+((($B$54*'Emission Factors and Constants'!$B$111)/'Forecast Parameters'!$E$139)*'Forecast Parameters'!AF139)+'Baseline Building Energy'!AC163</f>
        <v>0</v>
      </c>
    </row>
    <row r="55" spans="1:31" ht="25.35" customHeight="1" x14ac:dyDescent="0.7">
      <c r="A55" s="117" t="s">
        <v>115</v>
      </c>
      <c r="B55" s="50">
        <f>SUM(B53:B54)</f>
        <v>0</v>
      </c>
      <c r="C55" s="50">
        <f t="shared" ref="C55:AC55" si="1">SUM(C53:C54)</f>
        <v>0</v>
      </c>
      <c r="D55" s="50">
        <f t="shared" si="1"/>
        <v>0</v>
      </c>
      <c r="E55" s="50">
        <f t="shared" si="1"/>
        <v>0</v>
      </c>
      <c r="F55" s="50">
        <f t="shared" si="1"/>
        <v>0</v>
      </c>
      <c r="G55" s="50">
        <f t="shared" si="1"/>
        <v>0</v>
      </c>
      <c r="H55" s="50">
        <f t="shared" si="1"/>
        <v>0</v>
      </c>
      <c r="I55" s="50">
        <f t="shared" si="1"/>
        <v>0</v>
      </c>
      <c r="J55" s="50">
        <f t="shared" si="1"/>
        <v>0</v>
      </c>
      <c r="K55" s="50">
        <f t="shared" si="1"/>
        <v>0</v>
      </c>
      <c r="L55" s="50">
        <f t="shared" si="1"/>
        <v>0</v>
      </c>
      <c r="M55" s="50">
        <f t="shared" si="1"/>
        <v>0</v>
      </c>
      <c r="N55" s="50">
        <f t="shared" si="1"/>
        <v>0</v>
      </c>
      <c r="O55" s="50">
        <f t="shared" si="1"/>
        <v>0</v>
      </c>
      <c r="P55" s="50">
        <f t="shared" si="1"/>
        <v>0</v>
      </c>
      <c r="Q55" s="50">
        <f t="shared" si="1"/>
        <v>0</v>
      </c>
      <c r="R55" s="50">
        <f t="shared" si="1"/>
        <v>0</v>
      </c>
      <c r="S55" s="50">
        <f t="shared" si="1"/>
        <v>0</v>
      </c>
      <c r="T55" s="50">
        <f t="shared" si="1"/>
        <v>0</v>
      </c>
      <c r="U55" s="50">
        <f t="shared" si="1"/>
        <v>0</v>
      </c>
      <c r="V55" s="50">
        <f t="shared" si="1"/>
        <v>0</v>
      </c>
      <c r="W55" s="50">
        <f t="shared" si="1"/>
        <v>0</v>
      </c>
      <c r="X55" s="50">
        <f t="shared" si="1"/>
        <v>0</v>
      </c>
      <c r="Y55" s="50">
        <f t="shared" si="1"/>
        <v>0</v>
      </c>
      <c r="Z55" s="50">
        <f t="shared" si="1"/>
        <v>0</v>
      </c>
      <c r="AA55" s="50">
        <f t="shared" si="1"/>
        <v>0</v>
      </c>
      <c r="AB55" s="50">
        <f t="shared" si="1"/>
        <v>0</v>
      </c>
      <c r="AC55" s="50">
        <f t="shared" si="1"/>
        <v>0</v>
      </c>
    </row>
    <row r="56" spans="1:31" ht="25.35" customHeight="1" x14ac:dyDescent="0.7">
      <c r="A56" s="117" t="s">
        <v>181</v>
      </c>
      <c r="B56" s="190">
        <v>0</v>
      </c>
      <c r="C56" s="50">
        <f>C55*'Emission Factors and Constants'!$C$93</f>
        <v>0</v>
      </c>
      <c r="D56" s="50">
        <f>D55*'Emission Factors and Constants'!$C$93</f>
        <v>0</v>
      </c>
      <c r="E56" s="50">
        <f>E55*'Emission Factors and Constants'!$C$93</f>
        <v>0</v>
      </c>
      <c r="F56" s="50">
        <f>F55*'Emission Factors and Constants'!$C$93</f>
        <v>0</v>
      </c>
      <c r="G56" s="50">
        <f>G55*'Emission Factors and Constants'!$C$93</f>
        <v>0</v>
      </c>
      <c r="H56" s="50">
        <f>H55*'Emission Factors and Constants'!$C$93</f>
        <v>0</v>
      </c>
      <c r="I56" s="50">
        <f>I55*'Emission Factors and Constants'!$C$93</f>
        <v>0</v>
      </c>
      <c r="J56" s="50">
        <f>J55*'Emission Factors and Constants'!$C$93</f>
        <v>0</v>
      </c>
      <c r="K56" s="50">
        <f>K55*'Emission Factors and Constants'!$C$93</f>
        <v>0</v>
      </c>
      <c r="L56" s="50">
        <f>L55*'Emission Factors and Constants'!$C$93</f>
        <v>0</v>
      </c>
      <c r="M56" s="50">
        <f>M55*'Emission Factors and Constants'!$C$93</f>
        <v>0</v>
      </c>
      <c r="N56" s="50">
        <f>N55*'Emission Factors and Constants'!$C$93</f>
        <v>0</v>
      </c>
      <c r="O56" s="50">
        <f>O55*'Emission Factors and Constants'!$C$93</f>
        <v>0</v>
      </c>
      <c r="P56" s="50">
        <f>P55*'Emission Factors and Constants'!$C$93</f>
        <v>0</v>
      </c>
      <c r="Q56" s="50">
        <f>Q55*'Emission Factors and Constants'!$C$93</f>
        <v>0</v>
      </c>
      <c r="R56" s="50">
        <f>R55*'Emission Factors and Constants'!$C$93</f>
        <v>0</v>
      </c>
      <c r="S56" s="50">
        <f>S55*'Emission Factors and Constants'!$C$93</f>
        <v>0</v>
      </c>
      <c r="T56" s="50">
        <f>T55*'Emission Factors and Constants'!$C$93</f>
        <v>0</v>
      </c>
      <c r="U56" s="50">
        <f>U55*'Emission Factors and Constants'!$C$93</f>
        <v>0</v>
      </c>
      <c r="V56" s="50">
        <f>V55*'Emission Factors and Constants'!$C$93</f>
        <v>0</v>
      </c>
      <c r="W56" s="50">
        <f>W55*'Emission Factors and Constants'!$C$93</f>
        <v>0</v>
      </c>
      <c r="X56" s="50">
        <f>X55*'Emission Factors and Constants'!$C$93</f>
        <v>0</v>
      </c>
      <c r="Y56" s="50">
        <f>Y55*'Emission Factors and Constants'!$C$93</f>
        <v>0</v>
      </c>
      <c r="Z56" s="50">
        <f>Z55*'Emission Factors and Constants'!$C$93</f>
        <v>0</v>
      </c>
      <c r="AA56" s="50">
        <f>AA55*'Emission Factors and Constants'!$C$93</f>
        <v>0</v>
      </c>
      <c r="AB56" s="50">
        <f>AB55*'Emission Factors and Constants'!$C$93</f>
        <v>0</v>
      </c>
      <c r="AC56" s="50">
        <f>AC55*'Emission Factors and Constants'!$C$93</f>
        <v>0</v>
      </c>
    </row>
    <row r="57" spans="1:31" ht="24" x14ac:dyDescent="0.85">
      <c r="A57" s="248" t="s">
        <v>38</v>
      </c>
      <c r="B57" s="249"/>
      <c r="C57" s="249"/>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50"/>
    </row>
    <row r="58" spans="1:31" ht="25.35" customHeight="1" x14ac:dyDescent="0.7">
      <c r="A58" s="117" t="s">
        <v>183</v>
      </c>
      <c r="B58" s="190">
        <v>144222069.34799999</v>
      </c>
      <c r="C58" s="10">
        <f>($B$58*'Emission Factors and Constants'!$E$106)+((($B$58*'Emission Factors and Constants'!$E$104)/'Forecast Parameters'!$E$132)*'Forecast Parameters'!F132)+'Baseline Building Energy'!C164</f>
        <v>144081930.0258401</v>
      </c>
      <c r="D58" s="10">
        <f>($B$58*'Emission Factors and Constants'!$E$106)+((($B$58*'Emission Factors and Constants'!$E$104)/'Forecast Parameters'!$E$132)*'Forecast Parameters'!G132)+'Baseline Building Energy'!D164</f>
        <v>143930242.27613083</v>
      </c>
      <c r="E58" s="10">
        <f>($B$58*'Emission Factors and Constants'!$E$106)+((($B$58*'Emission Factors and Constants'!$E$104)/'Forecast Parameters'!$E$132)*'Forecast Parameters'!H132)+'Baseline Building Energy'!E164</f>
        <v>143544555.43308863</v>
      </c>
      <c r="F58" s="10">
        <f>($B$58*'Emission Factors and Constants'!$E$106)+((($B$58*'Emission Factors and Constants'!$E$104)/'Forecast Parameters'!$E$132)*'Forecast Parameters'!I132)+'Baseline Building Energy'!F164</f>
        <v>143144805.69047555</v>
      </c>
      <c r="G58" s="10">
        <f>($B$58*'Emission Factors and Constants'!$E$106)+((($B$58*'Emission Factors and Constants'!$E$104)/'Forecast Parameters'!$E$132)*'Forecast Parameters'!J132)+'Baseline Building Energy'!G164</f>
        <v>142730337.07570466</v>
      </c>
      <c r="H58" s="10">
        <f>($B$58*'Emission Factors and Constants'!$E$106)+((($B$58*'Emission Factors and Constants'!$E$104)/'Forecast Parameters'!$E$132)*'Forecast Parameters'!K132)+'Baseline Building Energy'!H164</f>
        <v>142300254.46002033</v>
      </c>
      <c r="I58" s="10">
        <f>($B$58*'Emission Factors and Constants'!$E$106)+((($B$58*'Emission Factors and Constants'!$E$104)/'Forecast Parameters'!$E$132)*'Forecast Parameters'!L132)+'Baseline Building Energy'!I164</f>
        <v>141854672.14394197</v>
      </c>
      <c r="J58" s="10">
        <f>($B$58*'Emission Factors and Constants'!$E$106)+((($B$58*'Emission Factors and Constants'!$E$104)/'Forecast Parameters'!$E$132)*'Forecast Parameters'!M132)+'Baseline Building Energy'!J164</f>
        <v>141974508.85930645</v>
      </c>
      <c r="K58" s="10">
        <f>($B$58*'Emission Factors and Constants'!$E$106)+((($B$58*'Emission Factors and Constants'!$E$104)/'Forecast Parameters'!$E$132)*'Forecast Parameters'!N132)+'Baseline Building Energy'!K164</f>
        <v>142083799.00144789</v>
      </c>
      <c r="L58" s="10">
        <f>($B$58*'Emission Factors and Constants'!$E$106)+((($B$58*'Emission Factors and Constants'!$E$104)/'Forecast Parameters'!$E$132)*'Forecast Parameters'!O132)+'Baseline Building Energy'!L164</f>
        <v>142181510.35648483</v>
      </c>
      <c r="M58" s="10">
        <f>($B$58*'Emission Factors and Constants'!$E$106)+((($B$58*'Emission Factors and Constants'!$E$104)/'Forecast Parameters'!$E$132)*'Forecast Parameters'!P132)+'Baseline Building Energy'!M164</f>
        <v>142269194.12368038</v>
      </c>
      <c r="N58" s="10">
        <f>($B$58*'Emission Factors and Constants'!$E$106)+((($B$58*'Emission Factors and Constants'!$E$104)/'Forecast Parameters'!$E$132)*'Forecast Parameters'!Q132)+'Baseline Building Energy'!N164</f>
        <v>142349891.4395341</v>
      </c>
      <c r="O58" s="10">
        <f>($B$58*'Emission Factors and Constants'!$E$106)+((($B$58*'Emission Factors and Constants'!$E$104)/'Forecast Parameters'!$E$132)*'Forecast Parameters'!R132)+'Baseline Building Energy'!O164</f>
        <v>142018679.16261277</v>
      </c>
      <c r="P58" s="10">
        <f>($B$58*'Emission Factors and Constants'!$E$106)+((($B$58*'Emission Factors and Constants'!$E$104)/'Forecast Parameters'!$E$132)*'Forecast Parameters'!S132)+'Baseline Building Energy'!P164</f>
        <v>141767370.45203233</v>
      </c>
      <c r="Q58" s="10">
        <f>($B$58*'Emission Factors and Constants'!$E$106)+((($B$58*'Emission Factors and Constants'!$E$104)/'Forecast Parameters'!$E$132)*'Forecast Parameters'!T132)+'Baseline Building Energy'!Q164</f>
        <v>141513851.93055186</v>
      </c>
      <c r="R58" s="10">
        <f>($B$58*'Emission Factors and Constants'!$E$106)+((($B$58*'Emission Factors and Constants'!$E$104)/'Forecast Parameters'!$E$132)*'Forecast Parameters'!U132)+'Baseline Building Energy'!R164</f>
        <v>141258230.27800527</v>
      </c>
      <c r="S58" s="10">
        <f>($B$58*'Emission Factors and Constants'!$E$106)+((($B$58*'Emission Factors and Constants'!$E$104)/'Forecast Parameters'!$E$132)*'Forecast Parameters'!V132)+'Baseline Building Energy'!S164</f>
        <v>140999194.73315579</v>
      </c>
      <c r="T58" s="10">
        <f>($B$58*'Emission Factors and Constants'!$E$106)+((($B$58*'Emission Factors and Constants'!$E$104)/'Forecast Parameters'!$E$132)*'Forecast Parameters'!W132)+'Baseline Building Energy'!T164</f>
        <v>139914880.64333117</v>
      </c>
      <c r="U58" s="10">
        <f>($B$58*'Emission Factors and Constants'!$E$106)+((($B$58*'Emission Factors and Constants'!$E$104)/'Forecast Parameters'!$E$132)*'Forecast Parameters'!X132)+'Baseline Building Energy'!U164</f>
        <v>138832814.64134097</v>
      </c>
      <c r="V58" s="10">
        <f>($B$58*'Emission Factors and Constants'!$E$106)+((($B$58*'Emission Factors and Constants'!$E$104)/'Forecast Parameters'!$E$132)*'Forecast Parameters'!Y132)+'Baseline Building Energy'!V164</f>
        <v>137751987.70567486</v>
      </c>
      <c r="W58" s="10">
        <f>($B$58*'Emission Factors and Constants'!$E$106)+((($B$58*'Emission Factors and Constants'!$E$104)/'Forecast Parameters'!$E$132)*'Forecast Parameters'!Z132)+'Baseline Building Energy'!W164</f>
        <v>136671493.45298421</v>
      </c>
      <c r="X58" s="10">
        <f>($B$58*'Emission Factors and Constants'!$E$106)+((($B$58*'Emission Factors and Constants'!$E$104)/'Forecast Parameters'!$E$132)*'Forecast Parameters'!AA132)+'Baseline Building Energy'!X164</f>
        <v>135591527.57856768</v>
      </c>
      <c r="Y58" s="10">
        <f>($B$58*'Emission Factors and Constants'!$E$106)+((($B$58*'Emission Factors and Constants'!$E$104)/'Forecast Parameters'!$E$132)*'Forecast Parameters'!AB132)+'Baseline Building Energy'!Y164</f>
        <v>135256271.13548097</v>
      </c>
      <c r="Z58" s="10">
        <f>($B$58*'Emission Factors and Constants'!$E$106)+((($B$58*'Emission Factors and Constants'!$E$104)/'Forecast Parameters'!$E$132)*'Forecast Parameters'!AC132)+'Baseline Building Energy'!Z164</f>
        <v>134917927.56951267</v>
      </c>
      <c r="AA58" s="10">
        <f>($B$58*'Emission Factors and Constants'!$E$106)+((($B$58*'Emission Factors and Constants'!$E$104)/'Forecast Parameters'!$E$132)*'Forecast Parameters'!AD132)+'Baseline Building Energy'!AA164</f>
        <v>134576505.90839386</v>
      </c>
      <c r="AB58" s="10">
        <f>($B$58*'Emission Factors and Constants'!$E$106)+((($B$58*'Emission Factors and Constants'!$E$104)/'Forecast Parameters'!$E$132)*'Forecast Parameters'!AE132)+'Baseline Building Energy'!AB164</f>
        <v>134230812.26665765</v>
      </c>
      <c r="AC58" s="10">
        <f>($B$58*'Emission Factors and Constants'!$E$106)+((($B$58*'Emission Factors and Constants'!$E$104)/'Forecast Parameters'!$E$132)*'Forecast Parameters'!AF132)+'Baseline Building Energy'!AC164</f>
        <v>133865182.29317838</v>
      </c>
      <c r="AD58" s="341"/>
    </row>
    <row r="59" spans="1:31" x14ac:dyDescent="0.7">
      <c r="A59" s="118" t="s">
        <v>184</v>
      </c>
      <c r="B59" s="190">
        <v>237413155.7720001</v>
      </c>
      <c r="C59" s="10">
        <f>($B$59*'Emission Factors and Constants'!$C$113)+((($B$59*'Emission Factors and Constants'!$C$110)/'Forecast Parameters'!$E$132)*'Forecast Parameters'!F132)+'Baseline Building Energy'!C165</f>
        <v>237385205.52955243</v>
      </c>
      <c r="D59" s="10">
        <f>($B$59*'Emission Factors and Constants'!$C$113)+((($B$59*'Emission Factors and Constants'!$C$110)/'Forecast Parameters'!$E$132)*'Forecast Parameters'!G132)+'Baseline Building Energy'!D165</f>
        <v>237355491.54857799</v>
      </c>
      <c r="E59" s="10">
        <f>($B$59*'Emission Factors and Constants'!$C$113)+((($B$59*'Emission Factors and Constants'!$C$110)/'Forecast Parameters'!$E$132)*'Forecast Parameters'!H132)+'Baseline Building Energy'!E165</f>
        <v>236962185.7200619</v>
      </c>
      <c r="F59" s="10">
        <f>($B$59*'Emission Factors and Constants'!$C$113)+((($B$59*'Emission Factors and Constants'!$C$110)/'Forecast Parameters'!$E$132)*'Forecast Parameters'!I132)+'Baseline Building Energy'!F165</f>
        <v>236567484.22928056</v>
      </c>
      <c r="G59" s="10">
        <f>($B$59*'Emission Factors and Constants'!$C$113)+((($B$59*'Emission Factors and Constants'!$C$110)/'Forecast Parameters'!$E$132)*'Forecast Parameters'!J132)+'Baseline Building Energy'!G165</f>
        <v>236171330.04433748</v>
      </c>
      <c r="H59" s="10">
        <f>($B$59*'Emission Factors and Constants'!$C$113)+((($B$59*'Emission Factors and Constants'!$C$110)/'Forecast Parameters'!$E$132)*'Forecast Parameters'!K132)+'Baseline Building Energy'!H165</f>
        <v>235773649.70856702</v>
      </c>
      <c r="I59" s="10">
        <f>($B$59*'Emission Factors and Constants'!$C$113)+((($B$59*'Emission Factors and Constants'!$C$110)/'Forecast Parameters'!$E$132)*'Forecast Parameters'!L132)+'Baseline Building Energy'!I165</f>
        <v>235374301.4021177</v>
      </c>
      <c r="J59" s="10">
        <f>($B$59*'Emission Factors and Constants'!$C$113)+((($B$59*'Emission Factors and Constants'!$C$110)/'Forecast Parameters'!$E$132)*'Forecast Parameters'!M132)+'Baseline Building Energy'!J165</f>
        <v>235916450.52215376</v>
      </c>
      <c r="K59" s="10">
        <f>($B$59*'Emission Factors and Constants'!$C$113)+((($B$59*'Emission Factors and Constants'!$C$110)/'Forecast Parameters'!$E$132)*'Forecast Parameters'!N132)+'Baseline Building Energy'!K165</f>
        <v>236454763.40528187</v>
      </c>
      <c r="L59" s="10">
        <f>($B$59*'Emission Factors and Constants'!$C$113)+((($B$59*'Emission Factors and Constants'!$C$110)/'Forecast Parameters'!$E$132)*'Forecast Parameters'!O132)+'Baseline Building Energy'!L165</f>
        <v>236989207.39143014</v>
      </c>
      <c r="M59" s="10">
        <f>($B$59*'Emission Factors and Constants'!$C$113)+((($B$59*'Emission Factors and Constants'!$C$110)/'Forecast Parameters'!$E$132)*'Forecast Parameters'!P132)+'Baseline Building Energy'!M165</f>
        <v>237519798.9746812</v>
      </c>
      <c r="N59" s="10">
        <f>($B$59*'Emission Factors and Constants'!$C$113)+((($B$59*'Emission Factors and Constants'!$C$110)/'Forecast Parameters'!$E$132)*'Forecast Parameters'!Q132)+'Baseline Building Energy'!N165</f>
        <v>238046658.98930451</v>
      </c>
      <c r="O59" s="10">
        <f>($B$59*'Emission Factors and Constants'!$C$113)+((($B$59*'Emission Factors and Constants'!$C$110)/'Forecast Parameters'!$E$132)*'Forecast Parameters'!R132)+'Baseline Building Energy'!O165</f>
        <v>237901635.20787439</v>
      </c>
      <c r="P59" s="10">
        <f>($B$59*'Emission Factors and Constants'!$C$113)+((($B$59*'Emission Factors and Constants'!$C$110)/'Forecast Parameters'!$E$132)*'Forecast Parameters'!S132)+'Baseline Building Energy'!P165</f>
        <v>237754524.72926441</v>
      </c>
      <c r="Q59" s="10">
        <f>($B$59*'Emission Factors and Constants'!$C$113)+((($B$59*'Emission Factors and Constants'!$C$110)/'Forecast Parameters'!$E$132)*'Forecast Parameters'!T132)+'Baseline Building Energy'!Q165</f>
        <v>237646808.81063062</v>
      </c>
      <c r="R59" s="10">
        <f>($B$59*'Emission Factors and Constants'!$C$113)+((($B$59*'Emission Factors and Constants'!$C$110)/'Forecast Parameters'!$E$132)*'Forecast Parameters'!U132)+'Baseline Building Energy'!R165</f>
        <v>237537341.48065093</v>
      </c>
      <c r="S59" s="10">
        <f>($B$59*'Emission Factors and Constants'!$C$113)+((($B$59*'Emission Factors and Constants'!$C$110)/'Forecast Parameters'!$E$132)*'Forecast Parameters'!V132)+'Baseline Building Energy'!S165</f>
        <v>237426048.49011499</v>
      </c>
      <c r="T59" s="10">
        <f>($B$59*'Emission Factors and Constants'!$C$113)+((($B$59*'Emission Factors and Constants'!$C$110)/'Forecast Parameters'!$E$132)*'Forecast Parameters'!W132)+'Baseline Building Energy'!T165</f>
        <v>235960806.03769735</v>
      </c>
      <c r="U59" s="10">
        <f>($B$59*'Emission Factors and Constants'!$C$113)+((($B$59*'Emission Factors and Constants'!$C$110)/'Forecast Parameters'!$E$132)*'Forecast Parameters'!X132)+'Baseline Building Energy'!U165</f>
        <v>234500653.47149241</v>
      </c>
      <c r="V59" s="10">
        <f>($B$59*'Emission Factors and Constants'!$C$113)+((($B$59*'Emission Factors and Constants'!$C$110)/'Forecast Parameters'!$E$132)*'Forecast Parameters'!Y132)+'Baseline Building Energy'!V165</f>
        <v>233045608.14175779</v>
      </c>
      <c r="W59" s="10">
        <f>($B$59*'Emission Factors and Constants'!$C$113)+((($B$59*'Emission Factors and Constants'!$C$110)/'Forecast Parameters'!$E$132)*'Forecast Parameters'!Z132)+'Baseline Building Energy'!W165</f>
        <v>231595955.88206959</v>
      </c>
      <c r="X59" s="10">
        <f>($B$59*'Emission Factors and Constants'!$C$113)+((($B$59*'Emission Factors and Constants'!$C$110)/'Forecast Parameters'!$E$132)*'Forecast Parameters'!AA132)+'Baseline Building Energy'!X165</f>
        <v>230151651.20039111</v>
      </c>
      <c r="Y59" s="10">
        <f>($B$59*'Emission Factors and Constants'!$C$113)+((($B$59*'Emission Factors and Constants'!$C$110)/'Forecast Parameters'!$E$132)*'Forecast Parameters'!AB132)+'Baseline Building Energy'!Y165</f>
        <v>229931009.69535288</v>
      </c>
      <c r="Z59" s="10">
        <f>($B$59*'Emission Factors and Constants'!$C$113)+((($B$59*'Emission Factors and Constants'!$C$110)/'Forecast Parameters'!$E$132)*'Forecast Parameters'!AC132)+'Baseline Building Energy'!Z165</f>
        <v>229713147.59401155</v>
      </c>
      <c r="AA59" s="10">
        <f>($B$59*'Emission Factors and Constants'!$C$113)+((($B$59*'Emission Factors and Constants'!$C$110)/'Forecast Parameters'!$E$132)*'Forecast Parameters'!AD132)+'Baseline Building Energy'!AA165</f>
        <v>229498205.36295113</v>
      </c>
      <c r="AB59" s="10">
        <f>($B$59*'Emission Factors and Constants'!$C$113)+((($B$59*'Emission Factors and Constants'!$C$110)/'Forecast Parameters'!$E$132)*'Forecast Parameters'!AE132)+'Baseline Building Energy'!AB165</f>
        <v>229286040.0450294</v>
      </c>
      <c r="AC59" s="10">
        <f>($B$59*'Emission Factors and Constants'!$C$113)+((($B$59*'Emission Factors and Constants'!$C$110)/'Forecast Parameters'!$E$132)*'Forecast Parameters'!AF132)+'Baseline Building Energy'!AC165</f>
        <v>229076835.0729152</v>
      </c>
      <c r="AD59" s="341"/>
    </row>
    <row r="60" spans="1:31" ht="24" x14ac:dyDescent="0.85">
      <c r="A60" s="248" t="s">
        <v>185</v>
      </c>
      <c r="B60" s="249"/>
      <c r="C60" s="249"/>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50"/>
    </row>
    <row r="61" spans="1:31" ht="25.35" customHeight="1" x14ac:dyDescent="0.7">
      <c r="A61" s="117" t="s">
        <v>453</v>
      </c>
      <c r="B61" s="193">
        <v>691619.67213114758</v>
      </c>
      <c r="C61" s="10">
        <f>($B$61*'Emission Factors and Constants'!$G$106)+((($B$61*'Emission Factors and Constants'!$G$104)/'Forecast Parameters'!$E$132)*'Forecast Parameters'!F132)</f>
        <v>690825.15969724359</v>
      </c>
      <c r="D61" s="10">
        <f>($B$61*'Emission Factors and Constants'!$G$106)+((($B$61*'Emission Factors and Constants'!$G$104)/'Forecast Parameters'!$E$132)*'Forecast Parameters'!G132)</f>
        <v>690030.6472633396</v>
      </c>
      <c r="E61" s="10">
        <f>($B$61*'Emission Factors and Constants'!$G$106)+((($B$61*'Emission Factors and Constants'!$G$104)/'Forecast Parameters'!$E$132)*'Forecast Parameters'!H132)</f>
        <v>688017.88243078277</v>
      </c>
      <c r="F61" s="10">
        <f>($B$61*'Emission Factors and Constants'!$G$106)+((($B$61*'Emission Factors and Constants'!$G$104)/'Forecast Parameters'!$E$132)*'Forecast Parameters'!I132)</f>
        <v>686005.11759822594</v>
      </c>
      <c r="G61" s="10">
        <f>($B$61*'Emission Factors and Constants'!$G$106)+((($B$61*'Emission Factors and Constants'!$G$104)/'Forecast Parameters'!$E$132)*'Forecast Parameters'!J132)</f>
        <v>683992.35276566911</v>
      </c>
      <c r="H61" s="10">
        <f>($B$61*'Emission Factors and Constants'!$G$106)+((($B$61*'Emission Factors and Constants'!$G$104)/'Forecast Parameters'!$E$132)*'Forecast Parameters'!K132)</f>
        <v>681979.5879331124</v>
      </c>
      <c r="I61" s="10">
        <f>($B$61*'Emission Factors and Constants'!$G$106)+((($B$61*'Emission Factors and Constants'!$G$104)/'Forecast Parameters'!$E$132)*'Forecast Parameters'!L132)</f>
        <v>679966.82310055557</v>
      </c>
      <c r="J61" s="10">
        <f>($B$61*'Emission Factors and Constants'!$G$106)+((($B$61*'Emission Factors and Constants'!$G$104)/'Forecast Parameters'!$E$132)*'Forecast Parameters'!M132)</f>
        <v>681132.1080036147</v>
      </c>
      <c r="K61" s="10">
        <f>($B$61*'Emission Factors and Constants'!$G$106)+((($B$61*'Emission Factors and Constants'!$G$104)/'Forecast Parameters'!$E$132)*'Forecast Parameters'!N132)</f>
        <v>682297.39290667395</v>
      </c>
      <c r="L61" s="10">
        <f>($B$61*'Emission Factors and Constants'!$G$106)+((($B$61*'Emission Factors and Constants'!$G$104)/'Forecast Parameters'!$E$132)*'Forecast Parameters'!O132)</f>
        <v>683462.6778097332</v>
      </c>
      <c r="M61" s="10">
        <f>($B$61*'Emission Factors and Constants'!$G$106)+((($B$61*'Emission Factors and Constants'!$G$104)/'Forecast Parameters'!$E$132)*'Forecast Parameters'!P132)</f>
        <v>684627.96271279233</v>
      </c>
      <c r="N61" s="10">
        <f>($B$61*'Emission Factors and Constants'!$G$106)+((($B$61*'Emission Factors and Constants'!$G$104)/'Forecast Parameters'!$E$132)*'Forecast Parameters'!Q132)</f>
        <v>685793.24761585158</v>
      </c>
      <c r="O61" s="10">
        <f>($B$61*'Emission Factors and Constants'!$G$106)+((($B$61*'Emission Factors and Constants'!$G$104)/'Forecast Parameters'!$E$132)*'Forecast Parameters'!R132)</f>
        <v>684707.41395618278</v>
      </c>
      <c r="P61" s="10">
        <f>($B$61*'Emission Factors and Constants'!$G$106)+((($B$61*'Emission Factors and Constants'!$G$104)/'Forecast Parameters'!$E$132)*'Forecast Parameters'!S132)</f>
        <v>683621.58029651397</v>
      </c>
      <c r="Q61" s="10">
        <f>($B$61*'Emission Factors and Constants'!$G$106)+((($B$61*'Emission Factors and Constants'!$G$104)/'Forecast Parameters'!$E$132)*'Forecast Parameters'!T132)</f>
        <v>682535.74663684517</v>
      </c>
      <c r="R61" s="10">
        <f>($B$61*'Emission Factors and Constants'!$G$106)+((($B$61*'Emission Factors and Constants'!$G$104)/'Forecast Parameters'!$E$132)*'Forecast Parameters'!U132)</f>
        <v>681449.91297717625</v>
      </c>
      <c r="S61" s="10">
        <f>($B$61*'Emission Factors and Constants'!$G$106)+((($B$61*'Emission Factors and Constants'!$G$104)/'Forecast Parameters'!$E$132)*'Forecast Parameters'!V132)</f>
        <v>680364.07931750757</v>
      </c>
      <c r="T61" s="10">
        <f>($B$61*'Emission Factors and Constants'!$G$106)+((($B$61*'Emission Factors and Constants'!$G$104)/'Forecast Parameters'!$E$132)*'Forecast Parameters'!W132)</f>
        <v>674643.58979339874</v>
      </c>
      <c r="U61" s="10">
        <f>($B$61*'Emission Factors and Constants'!$G$106)+((($B$61*'Emission Factors and Constants'!$G$104)/'Forecast Parameters'!$E$132)*'Forecast Parameters'!X132)</f>
        <v>668923.10026928992</v>
      </c>
      <c r="V61" s="10">
        <f>($B$61*'Emission Factors and Constants'!$G$106)+((($B$61*'Emission Factors and Constants'!$G$104)/'Forecast Parameters'!$E$132)*'Forecast Parameters'!Y132)</f>
        <v>663202.6107451811</v>
      </c>
      <c r="W61" s="10">
        <f>($B$61*'Emission Factors and Constants'!$G$106)+((($B$61*'Emission Factors and Constants'!$G$104)/'Forecast Parameters'!$E$132)*'Forecast Parameters'!Z132)</f>
        <v>657482.12122107227</v>
      </c>
      <c r="X61" s="10">
        <f>($B$61*'Emission Factors and Constants'!$G$106)+((($B$61*'Emission Factors and Constants'!$G$104)/'Forecast Parameters'!$E$132)*'Forecast Parameters'!AA132)</f>
        <v>651761.63169696345</v>
      </c>
      <c r="Y61" s="10">
        <f>($B$61*'Emission Factors and Constants'!$G$106)+((($B$61*'Emission Factors and Constants'!$G$104)/'Forecast Parameters'!$E$132)*'Forecast Parameters'!AB132)</f>
        <v>650146.12308135873</v>
      </c>
      <c r="Z61" s="10">
        <f>($B$61*'Emission Factors and Constants'!$G$106)+((($B$61*'Emission Factors and Constants'!$G$104)/'Forecast Parameters'!$E$132)*'Forecast Parameters'!AC132)</f>
        <v>648530.6144657539</v>
      </c>
      <c r="AA61" s="10">
        <f>($B$61*'Emission Factors and Constants'!$G$106)+((($B$61*'Emission Factors and Constants'!$G$104)/'Forecast Parameters'!$E$132)*'Forecast Parameters'!AD132)</f>
        <v>646915.10585014918</v>
      </c>
      <c r="AB61" s="10">
        <f>($B$61*'Emission Factors and Constants'!$G$106)+((($B$61*'Emission Factors and Constants'!$G$104)/'Forecast Parameters'!$E$132)*'Forecast Parameters'!AE132)</f>
        <v>645299.59723454434</v>
      </c>
      <c r="AC61" s="10">
        <f>($B$61*'Emission Factors and Constants'!$G$106)+((($B$61*'Emission Factors and Constants'!$G$104)/'Forecast Parameters'!$E$132)*'Forecast Parameters'!AF132)</f>
        <v>643684.08861893951</v>
      </c>
      <c r="AD61" s="341"/>
    </row>
    <row r="62" spans="1:31" ht="25.35" customHeight="1" x14ac:dyDescent="0.7">
      <c r="A62" s="117" t="s">
        <v>454</v>
      </c>
      <c r="B62" s="193">
        <v>397065</v>
      </c>
      <c r="C62" s="10">
        <f>$B$62+'Baseline Building Energy'!C167</f>
        <v>396090.6604040073</v>
      </c>
      <c r="D62" s="10">
        <f>$B$62+'Baseline Building Energy'!D167</f>
        <v>395118.06868491345</v>
      </c>
      <c r="E62" s="10">
        <f>$B$62+'Baseline Building Energy'!E167</f>
        <v>394148.84930020402</v>
      </c>
      <c r="F62" s="10">
        <f>$B$62+'Baseline Building Energy'!F167</f>
        <v>393182.85097764176</v>
      </c>
      <c r="G62" s="10">
        <f>$B$62+'Baseline Building Energy'!G167</f>
        <v>392220.17738356389</v>
      </c>
      <c r="H62" s="10">
        <f>$B$62+'Baseline Building Energy'!H167</f>
        <v>391260.90405763988</v>
      </c>
      <c r="I62" s="10">
        <f>$B$62+'Baseline Building Energy'!I167</f>
        <v>390304.89158458594</v>
      </c>
      <c r="J62" s="10">
        <f>$B$62+'Baseline Building Energy'!J167</f>
        <v>389344.26265324879</v>
      </c>
      <c r="K62" s="10">
        <f>$B$62+'Baseline Building Energy'!K167</f>
        <v>388378.77460242982</v>
      </c>
      <c r="L62" s="10">
        <f>$B$62+'Baseline Building Energy'!L167</f>
        <v>387408.32853242551</v>
      </c>
      <c r="M62" s="10">
        <f>$B$62+'Baseline Building Energy'!M167</f>
        <v>386432.83248054731</v>
      </c>
      <c r="N62" s="10">
        <f>$B$62+'Baseline Building Energy'!N167</f>
        <v>385452.39772999648</v>
      </c>
      <c r="O62" s="10">
        <f>$B$62+'Baseline Building Energy'!O167</f>
        <v>384470.51313107694</v>
      </c>
      <c r="P62" s="10">
        <f>$B$62+'Baseline Building Energy'!P167</f>
        <v>383487.67833320075</v>
      </c>
      <c r="Q62" s="10">
        <f>$B$62+'Baseline Building Energy'!Q167</f>
        <v>382616.73485434044</v>
      </c>
      <c r="R62" s="10">
        <f>$B$62+'Baseline Building Energy'!R167</f>
        <v>381744.90007394372</v>
      </c>
      <c r="S62" s="10">
        <f>$B$62+'Baseline Building Energy'!S167</f>
        <v>380871.82093410555</v>
      </c>
      <c r="T62" s="10">
        <f>$B$62+'Baseline Building Energy'!T167</f>
        <v>380005.02540706121</v>
      </c>
      <c r="U62" s="10">
        <f>$B$62+'Baseline Building Energy'!U167</f>
        <v>379144.53303804382</v>
      </c>
      <c r="V62" s="10">
        <f>$B$62+'Baseline Building Energy'!V167</f>
        <v>378290.23071143916</v>
      </c>
      <c r="W62" s="10">
        <f>$B$62+'Baseline Building Energy'!W167</f>
        <v>377442.74338754296</v>
      </c>
      <c r="X62" s="10">
        <f>$B$62+'Baseline Building Energy'!X167</f>
        <v>376601.81892699131</v>
      </c>
      <c r="Y62" s="10">
        <f>$B$62+'Baseline Building Energy'!Y167</f>
        <v>375760.60756372282</v>
      </c>
      <c r="Z62" s="10">
        <f>$B$62+'Baseline Building Energy'!Z167</f>
        <v>374918.87776220153</v>
      </c>
      <c r="AA62" s="10">
        <f>$B$62+'Baseline Building Energy'!AA167</f>
        <v>374076.94509841013</v>
      </c>
      <c r="AB62" s="10">
        <f>$B$62+'Baseline Building Energy'!AB167</f>
        <v>373234.37315592309</v>
      </c>
      <c r="AC62" s="10">
        <f>$B$62+'Baseline Building Energy'!AC167</f>
        <v>372391.59119386191</v>
      </c>
      <c r="AD62" s="341"/>
    </row>
    <row r="63" spans="1:31" ht="25.35" customHeight="1" x14ac:dyDescent="0.7">
      <c r="A63" s="121" t="s">
        <v>116</v>
      </c>
      <c r="B63" s="94">
        <v>112752</v>
      </c>
      <c r="C63" s="189">
        <f>B63</f>
        <v>112752</v>
      </c>
      <c r="D63" s="189">
        <f t="shared" ref="D63:AC63" si="2">C63</f>
        <v>112752</v>
      </c>
      <c r="E63" s="189">
        <f t="shared" si="2"/>
        <v>112752</v>
      </c>
      <c r="F63" s="189">
        <f t="shared" si="2"/>
        <v>112752</v>
      </c>
      <c r="G63" s="189">
        <f>F63</f>
        <v>112752</v>
      </c>
      <c r="H63" s="189">
        <f t="shared" si="2"/>
        <v>112752</v>
      </c>
      <c r="I63" s="189">
        <f t="shared" si="2"/>
        <v>112752</v>
      </c>
      <c r="J63" s="189">
        <f t="shared" si="2"/>
        <v>112752</v>
      </c>
      <c r="K63" s="189">
        <f t="shared" si="2"/>
        <v>112752</v>
      </c>
      <c r="L63" s="189">
        <f t="shared" si="2"/>
        <v>112752</v>
      </c>
      <c r="M63" s="189">
        <f t="shared" si="2"/>
        <v>112752</v>
      </c>
      <c r="N63" s="189">
        <f t="shared" si="2"/>
        <v>112752</v>
      </c>
      <c r="O63" s="189">
        <f t="shared" si="2"/>
        <v>112752</v>
      </c>
      <c r="P63" s="189">
        <f t="shared" si="2"/>
        <v>112752</v>
      </c>
      <c r="Q63" s="189">
        <f t="shared" si="2"/>
        <v>112752</v>
      </c>
      <c r="R63" s="189">
        <f t="shared" si="2"/>
        <v>112752</v>
      </c>
      <c r="S63" s="189">
        <f t="shared" si="2"/>
        <v>112752</v>
      </c>
      <c r="T63" s="189">
        <f t="shared" si="2"/>
        <v>112752</v>
      </c>
      <c r="U63" s="189">
        <f t="shared" si="2"/>
        <v>112752</v>
      </c>
      <c r="V63" s="189">
        <f t="shared" si="2"/>
        <v>112752</v>
      </c>
      <c r="W63" s="189">
        <f t="shared" si="2"/>
        <v>112752</v>
      </c>
      <c r="X63" s="189">
        <f t="shared" si="2"/>
        <v>112752</v>
      </c>
      <c r="Y63" s="189">
        <f t="shared" si="2"/>
        <v>112752</v>
      </c>
      <c r="Z63" s="189">
        <f t="shared" si="2"/>
        <v>112752</v>
      </c>
      <c r="AA63" s="189">
        <f t="shared" si="2"/>
        <v>112752</v>
      </c>
      <c r="AB63" s="189">
        <f t="shared" si="2"/>
        <v>112752</v>
      </c>
      <c r="AC63" s="189">
        <f t="shared" si="2"/>
        <v>112752</v>
      </c>
    </row>
    <row r="64" spans="1:31" ht="24" x14ac:dyDescent="0.85">
      <c r="A64" s="201" t="s">
        <v>134</v>
      </c>
      <c r="B64" s="202"/>
      <c r="C64" s="202"/>
      <c r="D64" s="202"/>
      <c r="E64" s="202"/>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3"/>
    </row>
    <row r="65" spans="1:30" ht="25.35" customHeight="1" x14ac:dyDescent="0.7">
      <c r="A65" s="241"/>
      <c r="B65" s="15">
        <v>2023</v>
      </c>
      <c r="C65" s="15">
        <v>2024</v>
      </c>
      <c r="D65" s="15">
        <v>2025</v>
      </c>
      <c r="E65" s="15">
        <v>2026</v>
      </c>
      <c r="F65" s="15">
        <v>2027</v>
      </c>
      <c r="G65" s="15">
        <v>2028</v>
      </c>
      <c r="H65" s="15">
        <v>2029</v>
      </c>
      <c r="I65" s="15">
        <v>2030</v>
      </c>
      <c r="J65" s="15">
        <v>2031</v>
      </c>
      <c r="K65" s="15">
        <v>2032</v>
      </c>
      <c r="L65" s="15">
        <v>2033</v>
      </c>
      <c r="M65" s="15">
        <v>2034</v>
      </c>
      <c r="N65" s="15">
        <v>2035</v>
      </c>
      <c r="O65" s="15">
        <v>2036</v>
      </c>
      <c r="P65" s="15">
        <v>2037</v>
      </c>
      <c r="Q65" s="15">
        <v>2038</v>
      </c>
      <c r="R65" s="15">
        <v>2039</v>
      </c>
      <c r="S65" s="15">
        <v>2040</v>
      </c>
      <c r="T65" s="15">
        <v>2041</v>
      </c>
      <c r="U65" s="15">
        <v>2042</v>
      </c>
      <c r="V65" s="15">
        <v>2043</v>
      </c>
      <c r="W65" s="15">
        <v>2044</v>
      </c>
      <c r="X65" s="15">
        <v>2045</v>
      </c>
      <c r="Y65" s="15">
        <v>2046</v>
      </c>
      <c r="Z65" s="15">
        <v>2047</v>
      </c>
      <c r="AA65" s="15">
        <v>2048</v>
      </c>
      <c r="AB65" s="15">
        <v>2049</v>
      </c>
      <c r="AC65" s="15">
        <v>2050</v>
      </c>
    </row>
    <row r="66" spans="1:30" ht="24" x14ac:dyDescent="0.85">
      <c r="A66" s="248" t="s">
        <v>139</v>
      </c>
      <c r="B66" s="249"/>
      <c r="C66" s="249"/>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50"/>
    </row>
    <row r="67" spans="1:30" ht="25.35" customHeight="1" x14ac:dyDescent="0.7">
      <c r="A67" s="117" t="s">
        <v>73</v>
      </c>
      <c r="B67" s="37">
        <v>160390972.50381139</v>
      </c>
      <c r="C67" s="10">
        <f>'Baseline Transportation'!C83+'Baseline Transportation'!C88+'Baseline Transportation'!C93+'Baseline Transportation'!C98</f>
        <v>157183237.83764282</v>
      </c>
      <c r="D67" s="10">
        <f>'Baseline Transportation'!D83+'Baseline Transportation'!D88+'Baseline Transportation'!D93+'Baseline Transportation'!D98</f>
        <v>153744542.02513599</v>
      </c>
      <c r="E67" s="10">
        <f>'Baseline Transportation'!E83+'Baseline Transportation'!E88+'Baseline Transportation'!E93+'Baseline Transportation'!E98</f>
        <v>150187324.51404953</v>
      </c>
      <c r="F67" s="10">
        <f>'Baseline Transportation'!F83+'Baseline Transportation'!F88+'Baseline Transportation'!F93+'Baseline Transportation'!F98</f>
        <v>146634773.19559371</v>
      </c>
      <c r="G67" s="10">
        <f>'Baseline Transportation'!G83+'Baseline Transportation'!G88+'Baseline Transportation'!G93+'Baseline Transportation'!G98</f>
        <v>143049334.94633257</v>
      </c>
      <c r="H67" s="10">
        <f>'Baseline Transportation'!H83+'Baseline Transportation'!H88+'Baseline Transportation'!H93+'Baseline Transportation'!H98</f>
        <v>139462738.00067776</v>
      </c>
      <c r="I67" s="10">
        <f>'Baseline Transportation'!I83+'Baseline Transportation'!I88+'Baseline Transportation'!I93+'Baseline Transportation'!I98</f>
        <v>135913827.53336355</v>
      </c>
      <c r="J67" s="10">
        <f>'Baseline Transportation'!J83+'Baseline Transportation'!J88+'Baseline Transportation'!J93+'Baseline Transportation'!J98</f>
        <v>132481428.58859634</v>
      </c>
      <c r="K67" s="10">
        <f>'Baseline Transportation'!K83+'Baseline Transportation'!K88+'Baseline Transportation'!K93+'Baseline Transportation'!K98</f>
        <v>129179860.06799461</v>
      </c>
      <c r="L67" s="10">
        <f>'Baseline Transportation'!L83+'Baseline Transportation'!L88+'Baseline Transportation'!L93+'Baseline Transportation'!L98</f>
        <v>126095626.93292858</v>
      </c>
      <c r="M67" s="10">
        <f>'Baseline Transportation'!M83+'Baseline Transportation'!M88+'Baseline Transportation'!M93+'Baseline Transportation'!M98</f>
        <v>123179750.1821969</v>
      </c>
      <c r="N67" s="10">
        <f>'Baseline Transportation'!N83+'Baseline Transportation'!N88+'Baseline Transportation'!N93+'Baseline Transportation'!N98</f>
        <v>120349614.24377587</v>
      </c>
      <c r="O67" s="10">
        <f>'Baseline Transportation'!O83+'Baseline Transportation'!O88+'Baseline Transportation'!O93+'Baseline Transportation'!O98</f>
        <v>117728225.47072749</v>
      </c>
      <c r="P67" s="10">
        <f>'Baseline Transportation'!P83+'Baseline Transportation'!P88+'Baseline Transportation'!P93+'Baseline Transportation'!P98</f>
        <v>115339454.56854954</v>
      </c>
      <c r="Q67" s="10">
        <f>'Baseline Transportation'!Q83+'Baseline Transportation'!Q88+'Baseline Transportation'!Q93+'Baseline Transportation'!Q98</f>
        <v>113221310.00558637</v>
      </c>
      <c r="R67" s="10">
        <f>'Baseline Transportation'!R83+'Baseline Transportation'!R88+'Baseline Transportation'!R93+'Baseline Transportation'!R98</f>
        <v>111261782.50178479</v>
      </c>
      <c r="S67" s="10">
        <f>'Baseline Transportation'!S83+'Baseline Transportation'!S88+'Baseline Transportation'!S93+'Baseline Transportation'!S98</f>
        <v>109556127.84638822</v>
      </c>
      <c r="T67" s="10">
        <f>'Baseline Transportation'!T83+'Baseline Transportation'!T88+'Baseline Transportation'!T93+'Baseline Transportation'!T98</f>
        <v>107926871.37737182</v>
      </c>
      <c r="U67" s="10">
        <f>'Baseline Transportation'!U83+'Baseline Transportation'!U88+'Baseline Transportation'!U93+'Baseline Transportation'!U98</f>
        <v>106502879.17343168</v>
      </c>
      <c r="V67" s="10">
        <f>'Baseline Transportation'!V83+'Baseline Transportation'!V88+'Baseline Transportation'!V93+'Baseline Transportation'!V98</f>
        <v>105299889.54697815</v>
      </c>
      <c r="W67" s="10">
        <f>'Baseline Transportation'!W83+'Baseline Transportation'!W88+'Baseline Transportation'!W93+'Baseline Transportation'!W98</f>
        <v>104253593.76954034</v>
      </c>
      <c r="X67" s="10">
        <f>'Baseline Transportation'!X83+'Baseline Transportation'!X88+'Baseline Transportation'!X93+'Baseline Transportation'!X98</f>
        <v>103338868.49387221</v>
      </c>
      <c r="Y67" s="10">
        <f>'Baseline Transportation'!Y83+'Baseline Transportation'!Y88+'Baseline Transportation'!Y93+'Baseline Transportation'!Y98</f>
        <v>102457809.64735726</v>
      </c>
      <c r="Z67" s="10">
        <f>'Baseline Transportation'!Z83+'Baseline Transportation'!Z88+'Baseline Transportation'!Z93+'Baseline Transportation'!Z98</f>
        <v>101684337.65363653</v>
      </c>
      <c r="AA67" s="10">
        <f>'Baseline Transportation'!AA83+'Baseline Transportation'!AA88+'Baseline Transportation'!AA93+'Baseline Transportation'!AA98</f>
        <v>100977533.08345766</v>
      </c>
      <c r="AB67" s="10">
        <f>'Baseline Transportation'!AB83+'Baseline Transportation'!AB88+'Baseline Transportation'!AB93+'Baseline Transportation'!AB98</f>
        <v>100300603.34584767</v>
      </c>
      <c r="AC67" s="10">
        <f>'Baseline Transportation'!AC83+'Baseline Transportation'!AC88+'Baseline Transportation'!AC93+'Baseline Transportation'!AC98</f>
        <v>99691315.872806996</v>
      </c>
      <c r="AD67" s="341"/>
    </row>
    <row r="68" spans="1:30" ht="25.35" customHeight="1" x14ac:dyDescent="0.7">
      <c r="A68" s="117" t="s">
        <v>74</v>
      </c>
      <c r="B68" s="37">
        <v>3225589032.8259234</v>
      </c>
      <c r="C68" s="10">
        <f>('Baseline Transportation'!C47+'Baseline Transportation'!C42+'Baseline Transportation'!C35+'Baseline Transportation'!C26)*'Baseline Transportation'!C23</f>
        <v>3183696222.7332416</v>
      </c>
      <c r="D68" s="10">
        <f>('Baseline Transportation'!D47+'Baseline Transportation'!D42+'Baseline Transportation'!D35+'Baseline Transportation'!D26)*'Baseline Transportation'!D23</f>
        <v>3183792974.1991105</v>
      </c>
      <c r="E68" s="10">
        <f>('Baseline Transportation'!E47+'Baseline Transportation'!E42+'Baseline Transportation'!E35+'Baseline Transportation'!E26)*'Baseline Transportation'!E23</f>
        <v>3180429207.0919228</v>
      </c>
      <c r="F68" s="10">
        <f>('Baseline Transportation'!F47+'Baseline Transportation'!F42+'Baseline Transportation'!F35+'Baseline Transportation'!F26)*'Baseline Transportation'!F23</f>
        <v>3177162580.9333405</v>
      </c>
      <c r="G68" s="10">
        <f>('Baseline Transportation'!G47+'Baseline Transportation'!G42+'Baseline Transportation'!G35+'Baseline Transportation'!G26)*'Baseline Transportation'!G23</f>
        <v>3174262874.2830377</v>
      </c>
      <c r="H68" s="10">
        <f>('Baseline Transportation'!H47+'Baseline Transportation'!H42+'Baseline Transportation'!H35+'Baseline Transportation'!H26)*'Baseline Transportation'!H23</f>
        <v>3171617658.3907709</v>
      </c>
      <c r="I68" s="10">
        <f>('Baseline Transportation'!I47+'Baseline Transportation'!I42+'Baseline Transportation'!I35+'Baseline Transportation'!I26)*'Baseline Transportation'!I23</f>
        <v>3168928021.384593</v>
      </c>
      <c r="J68" s="10">
        <f>('Baseline Transportation'!J47+'Baseline Transportation'!J42+'Baseline Transportation'!J35+'Baseline Transportation'!J26)*'Baseline Transportation'!J23</f>
        <v>3163395666.5823612</v>
      </c>
      <c r="K68" s="10">
        <f>('Baseline Transportation'!K47+'Baseline Transportation'!K42+'Baseline Transportation'!K35+'Baseline Transportation'!K26)*'Baseline Transportation'!K23</f>
        <v>3158246828.6048284</v>
      </c>
      <c r="L68" s="10">
        <f>('Baseline Transportation'!L47+'Baseline Transportation'!L42+'Baseline Transportation'!L35+'Baseline Transportation'!L26)*'Baseline Transportation'!L23</f>
        <v>3153410857.7067413</v>
      </c>
      <c r="M68" s="10">
        <f>('Baseline Transportation'!M47+'Baseline Transportation'!M42+'Baseline Transportation'!M35+'Baseline Transportation'!M26)*'Baseline Transportation'!M23</f>
        <v>3149026615.8377156</v>
      </c>
      <c r="N68" s="10">
        <f>('Baseline Transportation'!N47+'Baseline Transportation'!N42+'Baseline Transportation'!N35+'Baseline Transportation'!N26)*'Baseline Transportation'!N23</f>
        <v>3145303810.8470926</v>
      </c>
      <c r="O68" s="10">
        <f>('Baseline Transportation'!O47+'Baseline Transportation'!O42+'Baseline Transportation'!O35+'Baseline Transportation'!O26)*'Baseline Transportation'!O23</f>
        <v>3138452007.272728</v>
      </c>
      <c r="P68" s="10">
        <f>('Baseline Transportation'!P47+'Baseline Transportation'!P42+'Baseline Transportation'!P35+'Baseline Transportation'!P26)*'Baseline Transportation'!P23</f>
        <v>3132520230.8999252</v>
      </c>
      <c r="Q68" s="10">
        <f>('Baseline Transportation'!Q47+'Baseline Transportation'!Q42+'Baseline Transportation'!Q35+'Baseline Transportation'!Q26)*'Baseline Transportation'!Q23</f>
        <v>3127539797.1713829</v>
      </c>
      <c r="R68" s="10">
        <f>('Baseline Transportation'!R47+'Baseline Transportation'!R42+'Baseline Transportation'!R35+'Baseline Transportation'!R26)*'Baseline Transportation'!R23</f>
        <v>3123220736.6780047</v>
      </c>
      <c r="S68" s="10">
        <f>('Baseline Transportation'!S47+'Baseline Transportation'!S42+'Baseline Transportation'!S35+'Baseline Transportation'!S26)*'Baseline Transportation'!S23</f>
        <v>3119474087.6856761</v>
      </c>
      <c r="T68" s="10">
        <f>('Baseline Transportation'!T47+'Baseline Transportation'!T42+'Baseline Transportation'!T35+'Baseline Transportation'!T26)*'Baseline Transportation'!T23</f>
        <v>3113529470.5470791</v>
      </c>
      <c r="U68" s="10">
        <f>('Baseline Transportation'!U47+'Baseline Transportation'!U42+'Baseline Transportation'!U35+'Baseline Transportation'!U26)*'Baseline Transportation'!U23</f>
        <v>3107929465.9341102</v>
      </c>
      <c r="V68" s="10">
        <f>('Baseline Transportation'!V47+'Baseline Transportation'!V42+'Baseline Transportation'!V35+'Baseline Transportation'!V26)*'Baseline Transportation'!V23</f>
        <v>3102511746.274611</v>
      </c>
      <c r="W68" s="10">
        <f>('Baseline Transportation'!W47+'Baseline Transportation'!W42+'Baseline Transportation'!W35+'Baseline Transportation'!W26)*'Baseline Transportation'!W23</f>
        <v>3097210569.0729361</v>
      </c>
      <c r="X68" s="10">
        <f>('Baseline Transportation'!X47+'Baseline Transportation'!X42+'Baseline Transportation'!X35+'Baseline Transportation'!X26)*'Baseline Transportation'!X23</f>
        <v>3092074317.68505</v>
      </c>
      <c r="Y68" s="10">
        <f>('Baseline Transportation'!Y47+'Baseline Transportation'!Y42+'Baseline Transportation'!Y35+'Baseline Transportation'!Y26)*'Baseline Transportation'!Y23</f>
        <v>3084836033.0723357</v>
      </c>
      <c r="Z68" s="10">
        <f>('Baseline Transportation'!Z47+'Baseline Transportation'!Z42+'Baseline Transportation'!Z35+'Baseline Transportation'!Z26)*'Baseline Transportation'!Z23</f>
        <v>3077499992.1809216</v>
      </c>
      <c r="AA68" s="10">
        <f>('Baseline Transportation'!AA47+'Baseline Transportation'!AA42+'Baseline Transportation'!AA35+'Baseline Transportation'!AA26)*'Baseline Transportation'!AA23</f>
        <v>3070233588.6744809</v>
      </c>
      <c r="AB68" s="10">
        <f>('Baseline Transportation'!AB47+'Baseline Transportation'!AB42+'Baseline Transportation'!AB35+'Baseline Transportation'!AB26)*'Baseline Transportation'!AB23</f>
        <v>3063015304.4108524</v>
      </c>
      <c r="AC68" s="10">
        <f>('Baseline Transportation'!AC47+'Baseline Transportation'!AC42+'Baseline Transportation'!AC35+'Baseline Transportation'!AC26)*'Baseline Transportation'!AC23</f>
        <v>3055667036.2403107</v>
      </c>
      <c r="AD68" s="341"/>
    </row>
    <row r="69" spans="1:30" ht="25.35" customHeight="1" x14ac:dyDescent="0.7">
      <c r="A69" s="117" t="s">
        <v>75</v>
      </c>
      <c r="B69" s="37">
        <v>35585728.622127756</v>
      </c>
      <c r="C69" s="10">
        <f>'Baseline Transportation'!C85+'Baseline Transportation'!C90+'Baseline Transportation'!C95</f>
        <v>34850286.771157093</v>
      </c>
      <c r="D69" s="10">
        <f>'Baseline Transportation'!D85+'Baseline Transportation'!D90+'Baseline Transportation'!D95</f>
        <v>34139178.344814822</v>
      </c>
      <c r="E69" s="10">
        <f>'Baseline Transportation'!E85+'Baseline Transportation'!E90+'Baseline Transportation'!E95</f>
        <v>33500393.33169841</v>
      </c>
      <c r="F69" s="10">
        <f>'Baseline Transportation'!F85+'Baseline Transportation'!F90+'Baseline Transportation'!F95</f>
        <v>32882481.48959402</v>
      </c>
      <c r="G69" s="10">
        <f>'Baseline Transportation'!G85+'Baseline Transportation'!G90+'Baseline Transportation'!G95</f>
        <v>32282976.188391056</v>
      </c>
      <c r="H69" s="10">
        <f>'Baseline Transportation'!H85+'Baseline Transportation'!H90+'Baseline Transportation'!H95</f>
        <v>31701976.359160896</v>
      </c>
      <c r="I69" s="10">
        <f>'Baseline Transportation'!I85+'Baseline Transportation'!I90+'Baseline Transportation'!I95</f>
        <v>31139645.615555823</v>
      </c>
      <c r="J69" s="10">
        <f>'Baseline Transportation'!J85+'Baseline Transportation'!J90+'Baseline Transportation'!J95</f>
        <v>30602965.168473739</v>
      </c>
      <c r="K69" s="10">
        <f>'Baseline Transportation'!K85+'Baseline Transportation'!K90+'Baseline Transportation'!K95</f>
        <v>30084865.959609546</v>
      </c>
      <c r="L69" s="10">
        <f>'Baseline Transportation'!L85+'Baseline Transportation'!L90+'Baseline Transportation'!L95</f>
        <v>29587373.999164261</v>
      </c>
      <c r="M69" s="10">
        <f>'Baseline Transportation'!M85+'Baseline Transportation'!M90+'Baseline Transportation'!M95</f>
        <v>29108171.919684932</v>
      </c>
      <c r="N69" s="10">
        <f>'Baseline Transportation'!N85+'Baseline Transportation'!N90+'Baseline Transportation'!N95</f>
        <v>28644129.935591243</v>
      </c>
      <c r="O69" s="10">
        <f>'Baseline Transportation'!O85+'Baseline Transportation'!O90+'Baseline Transportation'!O95</f>
        <v>28359512.136926819</v>
      </c>
      <c r="P69" s="10">
        <f>'Baseline Transportation'!P85+'Baseline Transportation'!P90+'Baseline Transportation'!P95</f>
        <v>28085490.181673501</v>
      </c>
      <c r="Q69" s="10">
        <f>'Baseline Transportation'!Q85+'Baseline Transportation'!Q90+'Baseline Transportation'!Q95</f>
        <v>27823093.64430926</v>
      </c>
      <c r="R69" s="10">
        <f>'Baseline Transportation'!R85+'Baseline Transportation'!R90+'Baseline Transportation'!R95</f>
        <v>27568806.982412897</v>
      </c>
      <c r="S69" s="10">
        <f>'Baseline Transportation'!S85+'Baseline Transportation'!S90+'Baseline Transportation'!S95</f>
        <v>27325482.686113894</v>
      </c>
      <c r="T69" s="10">
        <f>'Baseline Transportation'!T85+'Baseline Transportation'!T90+'Baseline Transportation'!T95</f>
        <v>27062073.414566234</v>
      </c>
      <c r="U69" s="10">
        <f>'Baseline Transportation'!U85+'Baseline Transportation'!U90+'Baseline Transportation'!U95</f>
        <v>26808545.65756638</v>
      </c>
      <c r="V69" s="10">
        <f>'Baseline Transportation'!V85+'Baseline Transportation'!V90+'Baseline Transportation'!V95</f>
        <v>26565314.954194449</v>
      </c>
      <c r="W69" s="10">
        <f>'Baseline Transportation'!W85+'Baseline Transportation'!W90+'Baseline Transportation'!W95</f>
        <v>26330370.392920002</v>
      </c>
      <c r="X69" s="10">
        <f>'Baseline Transportation'!X85+'Baseline Transportation'!X90+'Baseline Transportation'!X95</f>
        <v>26102818.260579731</v>
      </c>
      <c r="Y69" s="10">
        <f>'Baseline Transportation'!Y85+'Baseline Transportation'!Y90+'Baseline Transportation'!Y95</f>
        <v>25869137.151544772</v>
      </c>
      <c r="Z69" s="10">
        <f>'Baseline Transportation'!Z85+'Baseline Transportation'!Z90+'Baseline Transportation'!Z95</f>
        <v>25642014.869186912</v>
      </c>
      <c r="AA69" s="10">
        <f>'Baseline Transportation'!AA85+'Baseline Transportation'!AA90+'Baseline Transportation'!AA95</f>
        <v>25420128.544419549</v>
      </c>
      <c r="AB69" s="10">
        <f>'Baseline Transportation'!AB85+'Baseline Transportation'!AB90+'Baseline Transportation'!AB95</f>
        <v>25202264.433417656</v>
      </c>
      <c r="AC69" s="10">
        <f>'Baseline Transportation'!AC85+'Baseline Transportation'!AC90+'Baseline Transportation'!AC95</f>
        <v>24989502.99826828</v>
      </c>
      <c r="AD69" s="341"/>
    </row>
    <row r="70" spans="1:30" ht="25.35" customHeight="1" x14ac:dyDescent="0.7">
      <c r="A70" s="117" t="s">
        <v>76</v>
      </c>
      <c r="B70" s="37">
        <v>329484078.82017392</v>
      </c>
      <c r="C70" s="10">
        <f>('Baseline Transportation'!C49+'Baseline Transportation'!C44+'Baseline Transportation'!C39+'Baseline Transportation'!C32)*'Baseline Transportation'!C23</f>
        <v>330094499.02432168</v>
      </c>
      <c r="D70" s="10">
        <f>('Baseline Transportation'!D49+'Baseline Transportation'!D44+'Baseline Transportation'!D39+'Baseline Transportation'!D32)*'Baseline Transportation'!D23</f>
        <v>330665264.54618853</v>
      </c>
      <c r="E70" s="10">
        <f>('Baseline Transportation'!E49+'Baseline Transportation'!E44+'Baseline Transportation'!E39+'Baseline Transportation'!E32)*'Baseline Transportation'!E23</f>
        <v>330935185.66340363</v>
      </c>
      <c r="F70" s="10">
        <f>('Baseline Transportation'!F49+'Baseline Transportation'!F44+'Baseline Transportation'!F39+'Baseline Transportation'!F32)*'Baseline Transportation'!F23</f>
        <v>331209118.52785432</v>
      </c>
      <c r="G70" s="10">
        <f>('Baseline Transportation'!G49+'Baseline Transportation'!G44+'Baseline Transportation'!G39+'Baseline Transportation'!G32)*'Baseline Transportation'!G23</f>
        <v>331498204.51098627</v>
      </c>
      <c r="H70" s="10">
        <f>('Baseline Transportation'!H49+'Baseline Transportation'!H44+'Baseline Transportation'!H39+'Baseline Transportation'!H32)*'Baseline Transportation'!H23</f>
        <v>331797800.50673079</v>
      </c>
      <c r="I70" s="10">
        <f>('Baseline Transportation'!I49+'Baseline Transportation'!I44+'Baseline Transportation'!I39+'Baseline Transportation'!I32)*'Baseline Transportation'!I23</f>
        <v>332095561.99001187</v>
      </c>
      <c r="J70" s="10">
        <f>('Baseline Transportation'!J49+'Baseline Transportation'!J44+'Baseline Transportation'!J39+'Baseline Transportation'!J32)*'Baseline Transportation'!J23</f>
        <v>332089200.47152978</v>
      </c>
      <c r="K70" s="10">
        <f>('Baseline Transportation'!K49+'Baseline Transportation'!K44+'Baseline Transportation'!K39+'Baseline Transportation'!K32)*'Baseline Transportation'!K23</f>
        <v>332098677.51117778</v>
      </c>
      <c r="L70" s="10">
        <f>('Baseline Transportation'!L49+'Baseline Transportation'!L44+'Baseline Transportation'!L39+'Baseline Transportation'!L32)*'Baseline Transportation'!L23</f>
        <v>332121075.40098321</v>
      </c>
      <c r="M70" s="10">
        <f>('Baseline Transportation'!M49+'Baseline Transportation'!M44+'Baseline Transportation'!M39+'Baseline Transportation'!M32)*'Baseline Transportation'!M23</f>
        <v>332162128.89081722</v>
      </c>
      <c r="N70" s="10">
        <f>('Baseline Transportation'!N49+'Baseline Transportation'!N44+'Baseline Transportation'!N39+'Baseline Transportation'!N32)*'Baseline Transportation'!N23</f>
        <v>332230498.53935218</v>
      </c>
      <c r="O70" s="10">
        <f>('Baseline Transportation'!O49+'Baseline Transportation'!O44+'Baseline Transportation'!O39+'Baseline Transportation'!O32)*'Baseline Transportation'!O23</f>
        <v>331964712.65673745</v>
      </c>
      <c r="P70" s="10">
        <f>('Baseline Transportation'!P49+'Baseline Transportation'!P44+'Baseline Transportation'!P39+'Baseline Transportation'!P32)*'Baseline Transportation'!P23</f>
        <v>331736922.250135</v>
      </c>
      <c r="Q70" s="10">
        <f>('Baseline Transportation'!Q49+'Baseline Transportation'!Q44+'Baseline Transportation'!Q39+'Baseline Transportation'!Q32)*'Baseline Transportation'!Q23</f>
        <v>331548420.59125459</v>
      </c>
      <c r="R70" s="10">
        <f>('Baseline Transportation'!R49+'Baseline Transportation'!R44+'Baseline Transportation'!R39+'Baseline Transportation'!R32)*'Baseline Transportation'!R23</f>
        <v>331387232.46272326</v>
      </c>
      <c r="S70" s="10">
        <f>('Baseline Transportation'!S49+'Baseline Transportation'!S44+'Baseline Transportation'!S39+'Baseline Transportation'!S32)*'Baseline Transportation'!S23</f>
        <v>331249683.90421814</v>
      </c>
      <c r="T70" s="10">
        <f>('Baseline Transportation'!T49+'Baseline Transportation'!T44+'Baseline Transportation'!T39+'Baseline Transportation'!T32)*'Baseline Transportation'!T23</f>
        <v>330885969.1271109</v>
      </c>
      <c r="U70" s="10">
        <f>('Baseline Transportation'!U49+'Baseline Transportation'!U44+'Baseline Transportation'!U39+'Baseline Transportation'!U32)*'Baseline Transportation'!U23</f>
        <v>330536486.23024476</v>
      </c>
      <c r="V70" s="10">
        <f>('Baseline Transportation'!V49+'Baseline Transportation'!V44+'Baseline Transportation'!V39+'Baseline Transportation'!V32)*'Baseline Transportation'!V23</f>
        <v>330194531.37555522</v>
      </c>
      <c r="W70" s="10">
        <f>('Baseline Transportation'!W49+'Baseline Transportation'!W44+'Baseline Transportation'!W39+'Baseline Transportation'!W32)*'Baseline Transportation'!W23</f>
        <v>329857389.51569134</v>
      </c>
      <c r="X70" s="10">
        <f>('Baseline Transportation'!X49+'Baseline Transportation'!X44+'Baseline Transportation'!X39+'Baseline Transportation'!X32)*'Baseline Transportation'!X23</f>
        <v>329527058.79661882</v>
      </c>
      <c r="Y70" s="10">
        <f>('Baseline Transportation'!Y49+'Baseline Transportation'!Y44+'Baseline Transportation'!Y39+'Baseline Transportation'!Y32)*'Baseline Transportation'!Y23</f>
        <v>328978379.95963526</v>
      </c>
      <c r="Z70" s="10">
        <f>('Baseline Transportation'!Z49+'Baseline Transportation'!Z44+'Baseline Transportation'!Z39+'Baseline Transportation'!Z32)*'Baseline Transportation'!Z23</f>
        <v>328425663.96338505</v>
      </c>
      <c r="AA70" s="10">
        <f>('Baseline Transportation'!AA49+'Baseline Transportation'!AA44+'Baseline Transportation'!AA39+'Baseline Transportation'!AA32)*'Baseline Transportation'!AA23</f>
        <v>327875823.86644071</v>
      </c>
      <c r="AB70" s="10">
        <f>('Baseline Transportation'!AB49+'Baseline Transportation'!AB44+'Baseline Transportation'!AB39+'Baseline Transportation'!AB32)*'Baseline Transportation'!AB23</f>
        <v>327327971.00806159</v>
      </c>
      <c r="AC70" s="10">
        <f>('Baseline Transportation'!AC49+'Baseline Transportation'!AC44+'Baseline Transportation'!AC39+'Baseline Transportation'!AC32)*'Baseline Transportation'!AC23</f>
        <v>326774750.04707772</v>
      </c>
      <c r="AD70" s="341"/>
    </row>
    <row r="71" spans="1:30" ht="25.35" customHeight="1" x14ac:dyDescent="0.7">
      <c r="A71" s="117" t="s">
        <v>77</v>
      </c>
      <c r="B71" s="37">
        <v>17925606.880351167</v>
      </c>
      <c r="C71" s="10">
        <f>'Baseline Transportation'!C99+'Baseline Transportation'!C94+'Baseline Transportation'!C89+'Baseline Transportation'!C84</f>
        <v>17690934.970307101</v>
      </c>
      <c r="D71" s="10">
        <f>'Baseline Transportation'!D99+'Baseline Transportation'!D94+'Baseline Transportation'!D89+'Baseline Transportation'!D84</f>
        <v>17303789.360807266</v>
      </c>
      <c r="E71" s="10">
        <f>'Baseline Transportation'!E99+'Baseline Transportation'!E94+'Baseline Transportation'!E89+'Baseline Transportation'!E84</f>
        <v>16903172.153909009</v>
      </c>
      <c r="F71" s="10">
        <f>'Baseline Transportation'!F99+'Baseline Transportation'!F94+'Baseline Transportation'!F89+'Baseline Transportation'!F84</f>
        <v>16503064.311717149</v>
      </c>
      <c r="G71" s="10">
        <f>'Baseline Transportation'!G99+'Baseline Transportation'!G94+'Baseline Transportation'!G89+'Baseline Transportation'!G84</f>
        <v>16099219.529977912</v>
      </c>
      <c r="H71" s="10">
        <f>'Baseline Transportation'!H99+'Baseline Transportation'!H94+'Baseline Transportation'!H89+'Baseline Transportation'!H84</f>
        <v>15695242.134439625</v>
      </c>
      <c r="I71" s="10">
        <f>'Baseline Transportation'!I99+'Baseline Transportation'!I94+'Baseline Transportation'!I89+'Baseline Transportation'!I84</f>
        <v>15295511.268490005</v>
      </c>
      <c r="J71" s="10">
        <f>'Baseline Transportation'!J99+'Baseline Transportation'!J94+'Baseline Transportation'!J89+'Baseline Transportation'!J84</f>
        <v>14908902.418138005</v>
      </c>
      <c r="K71" s="10">
        <f>'Baseline Transportation'!K99+'Baseline Transportation'!K94+'Baseline Transportation'!K89+'Baseline Transportation'!K84</f>
        <v>14537043.733862052</v>
      </c>
      <c r="L71" s="10">
        <f>'Baseline Transportation'!L99+'Baseline Transportation'!L94+'Baseline Transportation'!L89+'Baseline Transportation'!L84</f>
        <v>14189697.434082743</v>
      </c>
      <c r="M71" s="10">
        <f>'Baseline Transportation'!M99+'Baseline Transportation'!M94+'Baseline Transportation'!M89+'Baseline Transportation'!M84</f>
        <v>13861325.695267109</v>
      </c>
      <c r="N71" s="10">
        <f>'Baseline Transportation'!N99+'Baseline Transportation'!N94+'Baseline Transportation'!N89+'Baseline Transportation'!N84</f>
        <v>13542619.456147447</v>
      </c>
      <c r="O71" s="10">
        <f>'Baseline Transportation'!O99+'Baseline Transportation'!O94+'Baseline Transportation'!O89+'Baseline Transportation'!O84</f>
        <v>13247208.282798879</v>
      </c>
      <c r="P71" s="10">
        <f>'Baseline Transportation'!P99+'Baseline Transportation'!P94+'Baseline Transportation'!P89+'Baseline Transportation'!P84</f>
        <v>12978032.82976375</v>
      </c>
      <c r="Q71" s="10">
        <f>'Baseline Transportation'!Q99+'Baseline Transportation'!Q94+'Baseline Transportation'!Q89+'Baseline Transportation'!Q84</f>
        <v>12739371.296817698</v>
      </c>
      <c r="R71" s="10">
        <f>'Baseline Transportation'!R99+'Baseline Transportation'!R94+'Baseline Transportation'!R89+'Baseline Transportation'!R84</f>
        <v>12518597.020099109</v>
      </c>
      <c r="S71" s="10">
        <f>'Baseline Transportation'!S99+'Baseline Transportation'!S94+'Baseline Transportation'!S89+'Baseline Transportation'!S84</f>
        <v>12326448.744179565</v>
      </c>
      <c r="T71" s="10">
        <f>'Baseline Transportation'!T99+'Baseline Transportation'!T94+'Baseline Transportation'!T89+'Baseline Transportation'!T84</f>
        <v>12142945.733567001</v>
      </c>
      <c r="U71" s="10">
        <f>'Baseline Transportation'!U99+'Baseline Transportation'!U94+'Baseline Transportation'!U89+'Baseline Transportation'!U84</f>
        <v>11982587.040752867</v>
      </c>
      <c r="V71" s="10">
        <f>'Baseline Transportation'!V99+'Baseline Transportation'!V94+'Baseline Transportation'!V89+'Baseline Transportation'!V84</f>
        <v>11847149.081078254</v>
      </c>
      <c r="W71" s="10">
        <f>'Baseline Transportation'!W99+'Baseline Transportation'!W94+'Baseline Transportation'!W89+'Baseline Transportation'!W84</f>
        <v>11729387.797814382</v>
      </c>
      <c r="X71" s="10">
        <f>'Baseline Transportation'!X99+'Baseline Transportation'!X94+'Baseline Transportation'!X89+'Baseline Transportation'!X84</f>
        <v>11626466.2264634</v>
      </c>
      <c r="Y71" s="10">
        <f>'Baseline Transportation'!Y99+'Baseline Transportation'!Y94+'Baseline Transportation'!Y89+'Baseline Transportation'!Y84</f>
        <v>11527354.101960093</v>
      </c>
      <c r="Z71" s="10">
        <f>'Baseline Transportation'!Z99+'Baseline Transportation'!Z94+'Baseline Transportation'!Z89+'Baseline Transportation'!Z84</f>
        <v>11440374.574241526</v>
      </c>
      <c r="AA71" s="10">
        <f>'Baseline Transportation'!AA99+'Baseline Transportation'!AA94+'Baseline Transportation'!AA89+'Baseline Transportation'!AA84</f>
        <v>11360915.627932053</v>
      </c>
      <c r="AB71" s="10">
        <f>'Baseline Transportation'!AB99+'Baseline Transportation'!AB94+'Baseline Transportation'!AB89+'Baseline Transportation'!AB84</f>
        <v>11284828.161772087</v>
      </c>
      <c r="AC71" s="10">
        <f>'Baseline Transportation'!AC99+'Baseline Transportation'!AC94+'Baseline Transportation'!AC89+'Baseline Transportation'!AC84</f>
        <v>11216368.626454588</v>
      </c>
      <c r="AD71" s="341"/>
    </row>
    <row r="72" spans="1:30" ht="25.35" customHeight="1" x14ac:dyDescent="0.7">
      <c r="A72" s="117" t="s">
        <v>78</v>
      </c>
      <c r="B72" s="37">
        <v>358398781.42510259</v>
      </c>
      <c r="C72" s="10">
        <f>('Baseline Transportation'!C48+'Baseline Transportation'!C43+'Baseline Transportation'!C37+'Baseline Transportation'!C29)*'Baseline Transportation'!C23</f>
        <v>358516960.83334839</v>
      </c>
      <c r="D72" s="10">
        <f>('Baseline Transportation'!D48+'Baseline Transportation'!D43+'Baseline Transportation'!D37+'Baseline Transportation'!D29)*'Baseline Transportation'!D23</f>
        <v>358526910.43610954</v>
      </c>
      <c r="E72" s="10">
        <f>('Baseline Transportation'!E48+'Baseline Transportation'!E43+'Baseline Transportation'!E37+'Baseline Transportation'!E29)*'Baseline Transportation'!E23</f>
        <v>358147072.30387998</v>
      </c>
      <c r="F72" s="10">
        <f>('Baseline Transportation'!F48+'Baseline Transportation'!F43+'Baseline Transportation'!F37+'Baseline Transportation'!F29)*'Baseline Transportation'!F23</f>
        <v>357778183.46182227</v>
      </c>
      <c r="G72" s="10">
        <f>('Baseline Transportation'!G48+'Baseline Transportation'!G43+'Baseline Transportation'!G37+'Baseline Transportation'!G29)*'Baseline Transportation'!G23</f>
        <v>357450652.13401067</v>
      </c>
      <c r="H72" s="10">
        <f>('Baseline Transportation'!H48+'Baseline Transportation'!H43+'Baseline Transportation'!H37+'Baseline Transportation'!H29)*'Baseline Transportation'!H23</f>
        <v>357151805.85813427</v>
      </c>
      <c r="I72" s="10">
        <f>('Baseline Transportation'!I48+'Baseline Transportation'!I43+'Baseline Transportation'!I37+'Baseline Transportation'!I29)*'Baseline Transportation'!I23</f>
        <v>356847952.63438517</v>
      </c>
      <c r="J72" s="10">
        <f>('Baseline Transportation'!J48+'Baseline Transportation'!J43+'Baseline Transportation'!J37+'Baseline Transportation'!J29)*'Baseline Transportation'!J23</f>
        <v>356223995.9516843</v>
      </c>
      <c r="K72" s="10">
        <f>('Baseline Transportation'!K48+'Baseline Transportation'!K43+'Baseline Transportation'!K37+'Baseline Transportation'!K29)*'Baseline Transportation'!K23</f>
        <v>355643267.55797672</v>
      </c>
      <c r="L72" s="10">
        <f>('Baseline Transportation'!L48+'Baseline Transportation'!L43+'Baseline Transportation'!L37+'Baseline Transportation'!L29)*'Baseline Transportation'!L23</f>
        <v>355097804.13220716</v>
      </c>
      <c r="M72" s="10">
        <f>('Baseline Transportation'!M48+'Baseline Transportation'!M43+'Baseline Transportation'!M37+'Baseline Transportation'!M29)*'Baseline Transportation'!M23</f>
        <v>354603257.56785619</v>
      </c>
      <c r="N72" s="10">
        <f>('Baseline Transportation'!N48+'Baseline Transportation'!N43+'Baseline Transportation'!N37+'Baseline Transportation'!N29)*'Baseline Transportation'!N23</f>
        <v>354183265.18910789</v>
      </c>
      <c r="O72" s="10">
        <f>('Baseline Transportation'!O48+'Baseline Transportation'!O43+'Baseline Transportation'!O37+'Baseline Transportation'!O29)*'Baseline Transportation'!O23</f>
        <v>353410931.77881891</v>
      </c>
      <c r="P72" s="10">
        <f>('Baseline Transportation'!P48+'Baseline Transportation'!P43+'Baseline Transportation'!P37+'Baseline Transportation'!P29)*'Baseline Transportation'!P23</f>
        <v>352742299.69058257</v>
      </c>
      <c r="Q72" s="10">
        <f>('Baseline Transportation'!Q48+'Baseline Transportation'!Q43+'Baseline Transportation'!Q37+'Baseline Transportation'!Q29)*'Baseline Transportation'!Q23</f>
        <v>352180898.66004485</v>
      </c>
      <c r="R72" s="10">
        <f>('Baseline Transportation'!R48+'Baseline Transportation'!R43+'Baseline Transportation'!R37+'Baseline Transportation'!R29)*'Baseline Transportation'!R23</f>
        <v>351694044.64153057</v>
      </c>
      <c r="S72" s="10">
        <f>('Baseline Transportation'!S48+'Baseline Transportation'!S43+'Baseline Transportation'!S37+'Baseline Transportation'!S29)*'Baseline Transportation'!S23</f>
        <v>351271710.26908362</v>
      </c>
      <c r="T72" s="10">
        <f>('Baseline Transportation'!T48+'Baseline Transportation'!T43+'Baseline Transportation'!T37+'Baseline Transportation'!T29)*'Baseline Transportation'!T23</f>
        <v>350601859.15277612</v>
      </c>
      <c r="U72" s="10">
        <f>('Baseline Transportation'!U48+'Baseline Transportation'!U43+'Baseline Transportation'!U37+'Baseline Transportation'!U29)*'Baseline Transportation'!U23</f>
        <v>349970851.2081086</v>
      </c>
      <c r="V72" s="10">
        <f>('Baseline Transportation'!V48+'Baseline Transportation'!V43+'Baseline Transportation'!V37+'Baseline Transportation'!V29)*'Baseline Transportation'!V23</f>
        <v>349360389.60232431</v>
      </c>
      <c r="W72" s="10">
        <f>('Baseline Transportation'!W48+'Baseline Transportation'!W43+'Baseline Transportation'!W37+'Baseline Transportation'!W29)*'Baseline Transportation'!W23</f>
        <v>348763064.13744003</v>
      </c>
      <c r="X72" s="10">
        <f>('Baseline Transportation'!X48+'Baseline Transportation'!X43+'Baseline Transportation'!X37+'Baseline Transportation'!X29)*'Baseline Transportation'!X23</f>
        <v>348184328.36740559</v>
      </c>
      <c r="Y72" s="10">
        <f>('Baseline Transportation'!Y48+'Baseline Transportation'!Y43+'Baseline Transportation'!Y37+'Baseline Transportation'!Y29)*'Baseline Transportation'!Y23</f>
        <v>347368882.70279962</v>
      </c>
      <c r="Z72" s="10">
        <f>('Baseline Transportation'!Z48+'Baseline Transportation'!Z43+'Baseline Transportation'!Z37+'Baseline Transportation'!Z29)*'Baseline Transportation'!Z23</f>
        <v>346542418.39078516</v>
      </c>
      <c r="AA72" s="10">
        <f>('Baseline Transportation'!AA48+'Baseline Transportation'!AA43+'Baseline Transportation'!AA37+'Baseline Transportation'!AA29)*'Baseline Transportation'!AA23</f>
        <v>345723803.29113519</v>
      </c>
      <c r="AB72" s="10">
        <f>('Baseline Transportation'!AB48+'Baseline Transportation'!AB43+'Baseline Transportation'!AB37+'Baseline Transportation'!AB29)*'Baseline Transportation'!AB23</f>
        <v>344910611.97578996</v>
      </c>
      <c r="AC72" s="10">
        <f>('Baseline Transportation'!AC48+'Baseline Transportation'!AC43+'Baseline Transportation'!AC37+'Baseline Transportation'!AC29)*'Baseline Transportation'!AC23</f>
        <v>344082769.459948</v>
      </c>
      <c r="AD72" s="341"/>
    </row>
    <row r="73" spans="1:30" ht="24" x14ac:dyDescent="0.85">
      <c r="A73" s="248" t="s">
        <v>140</v>
      </c>
      <c r="B73" s="249"/>
      <c r="C73" s="249"/>
      <c r="D73" s="249"/>
      <c r="E73" s="249"/>
      <c r="F73" s="249"/>
      <c r="G73" s="249"/>
      <c r="H73" s="249"/>
      <c r="I73" s="249"/>
      <c r="J73" s="249"/>
      <c r="K73" s="249"/>
      <c r="L73" s="249"/>
      <c r="M73" s="249"/>
      <c r="N73" s="249"/>
      <c r="O73" s="249"/>
      <c r="P73" s="249"/>
      <c r="Q73" s="249"/>
      <c r="R73" s="249"/>
      <c r="S73" s="249"/>
      <c r="T73" s="249"/>
      <c r="U73" s="249"/>
      <c r="V73" s="249"/>
      <c r="W73" s="249"/>
      <c r="X73" s="249"/>
      <c r="Y73" s="249"/>
      <c r="Z73" s="249"/>
      <c r="AA73" s="249"/>
      <c r="AB73" s="249"/>
      <c r="AC73" s="250"/>
    </row>
    <row r="74" spans="1:30" ht="25.35" customHeight="1" x14ac:dyDescent="0.7">
      <c r="A74" s="121" t="s">
        <v>79</v>
      </c>
      <c r="B74" s="37">
        <v>28548487.66</v>
      </c>
      <c r="C74" s="10">
        <f>'Baseline Transportation'!C82+'Baseline Transportation'!C87+'Baseline Transportation'!C92+'Baseline Transportation'!C97</f>
        <v>21452374.204514906</v>
      </c>
      <c r="D74" s="10">
        <f>'Baseline Transportation'!D82+'Baseline Transportation'!D87+'Baseline Transportation'!D92+'Baseline Transportation'!D97</f>
        <v>24575787.430515725</v>
      </c>
      <c r="E74" s="10">
        <f>'Baseline Transportation'!E82+'Baseline Transportation'!E87+'Baseline Transportation'!E92+'Baseline Transportation'!E97</f>
        <v>28039529.145642295</v>
      </c>
      <c r="F74" s="10">
        <f>'Baseline Transportation'!F82+'Baseline Transportation'!F87+'Baseline Transportation'!F92+'Baseline Transportation'!F97</f>
        <v>31449131.76633415</v>
      </c>
      <c r="G74" s="10">
        <f>'Baseline Transportation'!G82+'Baseline Transportation'!G87+'Baseline Transportation'!G92+'Baseline Transportation'!G97</f>
        <v>34705510.71977298</v>
      </c>
      <c r="H74" s="10">
        <f>'Baseline Transportation'!H82+'Baseline Transportation'!H87+'Baseline Transportation'!H92+'Baseline Transportation'!H97</f>
        <v>37856403.00830318</v>
      </c>
      <c r="I74" s="10">
        <f>'Baseline Transportation'!I82+'Baseline Transportation'!I87+'Baseline Transportation'!I92+'Baseline Transportation'!I97</f>
        <v>41015439.221207723</v>
      </c>
      <c r="J74" s="10">
        <f>'Baseline Transportation'!J82+'Baseline Transportation'!J87+'Baseline Transportation'!J92+'Baseline Transportation'!J97</f>
        <v>43542383.67517104</v>
      </c>
      <c r="K74" s="10">
        <f>'Baseline Transportation'!K82+'Baseline Transportation'!K87+'Baseline Transportation'!K92+'Baseline Transportation'!K97</f>
        <v>45844904.639337823</v>
      </c>
      <c r="L74" s="10">
        <f>'Baseline Transportation'!L82+'Baseline Transportation'!L87+'Baseline Transportation'!L92+'Baseline Transportation'!L97</f>
        <v>47947817.317956246</v>
      </c>
      <c r="M74" s="10">
        <f>'Baseline Transportation'!M82+'Baseline Transportation'!M87+'Baseline Transportation'!M92+'Baseline Transportation'!M97</f>
        <v>49802472.773587525</v>
      </c>
      <c r="N74" s="10">
        <f>'Baseline Transportation'!N82+'Baseline Transportation'!N87+'Baseline Transportation'!N92+'Baseline Transportation'!N97</f>
        <v>51337736.217819706</v>
      </c>
      <c r="O74" s="10">
        <f>'Baseline Transportation'!O82+'Baseline Transportation'!O87+'Baseline Transportation'!O92+'Baseline Transportation'!O97</f>
        <v>53308309.851505697</v>
      </c>
      <c r="P74" s="10">
        <f>'Baseline Transportation'!P82+'Baseline Transportation'!P87+'Baseline Transportation'!P92+'Baseline Transportation'!P97</f>
        <v>54933565.776656084</v>
      </c>
      <c r="Q74" s="10">
        <f>'Baseline Transportation'!Q82+'Baseline Transportation'!Q87+'Baseline Transportation'!Q92+'Baseline Transportation'!Q97</f>
        <v>56209099.412118942</v>
      </c>
      <c r="R74" s="10">
        <f>'Baseline Transportation'!R82+'Baseline Transportation'!R87+'Baseline Transportation'!R92+'Baseline Transportation'!R97</f>
        <v>57237606.499520794</v>
      </c>
      <c r="S74" s="10">
        <f>'Baseline Transportation'!S82+'Baseline Transportation'!S87+'Baseline Transportation'!S92+'Baseline Transportation'!S97</f>
        <v>58056256.914237157</v>
      </c>
      <c r="T74" s="10">
        <f>'Baseline Transportation'!T82+'Baseline Transportation'!T87+'Baseline Transportation'!T92+'Baseline Transportation'!T97</f>
        <v>58854837.110631183</v>
      </c>
      <c r="U74" s="10">
        <f>'Baseline Transportation'!U82+'Baseline Transportation'!U87+'Baseline Transportation'!U92+'Baseline Transportation'!U97</f>
        <v>59527581.069165364</v>
      </c>
      <c r="V74" s="10">
        <f>'Baseline Transportation'!V82+'Baseline Transportation'!V87+'Baseline Transportation'!V92+'Baseline Transportation'!V97</f>
        <v>60127969.369865842</v>
      </c>
      <c r="W74" s="10">
        <f>'Baseline Transportation'!W82+'Baseline Transportation'!W87+'Baseline Transportation'!W92+'Baseline Transportation'!W97</f>
        <v>60676887.115539677</v>
      </c>
      <c r="X74" s="10">
        <f>'Baseline Transportation'!X82+'Baseline Transportation'!X87+'Baseline Transportation'!X92+'Baseline Transportation'!X97</f>
        <v>61157455.740465075</v>
      </c>
      <c r="Y74" s="10">
        <f>'Baseline Transportation'!Y82+'Baseline Transportation'!Y87+'Baseline Transportation'!Y92+'Baseline Transportation'!Y97</f>
        <v>61609572.355136395</v>
      </c>
      <c r="Z74" s="10">
        <f>'Baseline Transportation'!Z82+'Baseline Transportation'!Z87+'Baseline Transportation'!Z92+'Baseline Transportation'!Z97</f>
        <v>62080759.7040236</v>
      </c>
      <c r="AA74" s="10">
        <f>'Baseline Transportation'!AA82+'Baseline Transportation'!AA87+'Baseline Transportation'!AA92+'Baseline Transportation'!AA97</f>
        <v>62515957.366877601</v>
      </c>
      <c r="AB74" s="10">
        <f>'Baseline Transportation'!AB82+'Baseline Transportation'!AB87+'Baseline Transportation'!AB92+'Baseline Transportation'!AB97</f>
        <v>62921418.089792766</v>
      </c>
      <c r="AC74" s="10">
        <f>'Baseline Transportation'!AC82+'Baseline Transportation'!AC87+'Baseline Transportation'!AC92+'Baseline Transportation'!AC97</f>
        <v>63353846.141120002</v>
      </c>
    </row>
    <row r="75" spans="1:30" ht="25.35" customHeight="1" x14ac:dyDescent="0.7">
      <c r="A75" s="121" t="s">
        <v>119</v>
      </c>
      <c r="B75" s="37">
        <v>70678216</v>
      </c>
      <c r="C75" s="43">
        <f>('Baseline Transportation'!C46+'Baseline Transportation'!C41+'Baseline Transportation'!C34+'Baseline Transportation'!C25)*'Baseline Transportation'!C23</f>
        <v>71190198.849850535</v>
      </c>
      <c r="D75" s="43">
        <f>('Baseline Transportation'!D46+'Baseline Transportation'!D41+'Baseline Transportation'!D34+'Baseline Transportation'!D25)*'Baseline Transportation'!D23</f>
        <v>81942167.882878289</v>
      </c>
      <c r="E75" s="43">
        <f>('Baseline Transportation'!E46+'Baseline Transportation'!E41+'Baseline Transportation'!E34+'Baseline Transportation'!E25)*'Baseline Transportation'!E23</f>
        <v>93728108.819638044</v>
      </c>
      <c r="F75" s="43">
        <f>('Baseline Transportation'!F46+'Baseline Transportation'!F41+'Baseline Transportation'!F34+'Baseline Transportation'!F25)*'Baseline Transportation'!F23</f>
        <v>105399870.78550492</v>
      </c>
      <c r="G75" s="43">
        <f>('Baseline Transportation'!G46+'Baseline Transportation'!G41+'Baseline Transportation'!G34+'Baseline Transportation'!G25)*'Baseline Transportation'!G23</f>
        <v>116640881.4376937</v>
      </c>
      <c r="H75" s="43">
        <f>('Baseline Transportation'!H46+'Baseline Transportation'!H41+'Baseline Transportation'!H34+'Baseline Transportation'!H25)*'Baseline Transportation'!H23</f>
        <v>127583009.78944211</v>
      </c>
      <c r="I75" s="43">
        <f>('Baseline Transportation'!I46+'Baseline Transportation'!I41+'Baseline Transportation'!I34+'Baseline Transportation'!I25)*'Baseline Transportation'!I23</f>
        <v>138576971.66348457</v>
      </c>
      <c r="J75" s="43">
        <f>('Baseline Transportation'!J46+'Baseline Transportation'!J41+'Baseline Transportation'!J34+'Baseline Transportation'!J25)*'Baseline Transportation'!J23</f>
        <v>149327450.64024389</v>
      </c>
      <c r="K75" s="43">
        <f>('Baseline Transportation'!K46+'Baseline Transportation'!K41+'Baseline Transportation'!K34+'Baseline Transportation'!K25)*'Baseline Transportation'!K23</f>
        <v>159627599.34191555</v>
      </c>
      <c r="L75" s="43">
        <f>('Baseline Transportation'!L46+'Baseline Transportation'!L41+'Baseline Transportation'!L34+'Baseline Transportation'!L25)*'Baseline Transportation'!L23</f>
        <v>169560396.40238926</v>
      </c>
      <c r="M75" s="43">
        <f>('Baseline Transportation'!M46+'Baseline Transportation'!M41+'Baseline Transportation'!M34+'Baseline Transportation'!M25)*'Baseline Transportation'!M23</f>
        <v>178962980.44904426</v>
      </c>
      <c r="N75" s="43">
        <f>('Baseline Transportation'!N46+'Baseline Transportation'!N41+'Baseline Transportation'!N34+'Baseline Transportation'!N25)*'Baseline Transportation'!N23</f>
        <v>187589395.61110544</v>
      </c>
      <c r="O75" s="43">
        <f>('Baseline Transportation'!O46+'Baseline Transportation'!O41+'Baseline Transportation'!O34+'Baseline Transportation'!O25)*'Baseline Transportation'!O23</f>
        <v>195959964.86017638</v>
      </c>
      <c r="P75" s="43">
        <f>('Baseline Transportation'!P46+'Baseline Transportation'!P41+'Baseline Transportation'!P34+'Baseline Transportation'!P25)*'Baseline Transportation'!P23</f>
        <v>203251100.39928481</v>
      </c>
      <c r="Q75" s="43">
        <f>('Baseline Transportation'!Q46+'Baseline Transportation'!Q41+'Baseline Transportation'!Q34+'Baseline Transportation'!Q25)*'Baseline Transportation'!Q23</f>
        <v>209426059.8989909</v>
      </c>
      <c r="R75" s="43">
        <f>('Baseline Transportation'!R46+'Baseline Transportation'!R41+'Baseline Transportation'!R34+'Baseline Transportation'!R25)*'Baseline Transportation'!R23</f>
        <v>214825080.74149048</v>
      </c>
      <c r="S75" s="43">
        <f>('Baseline Transportation'!S46+'Baseline Transportation'!S41+'Baseline Transportation'!S34+'Baseline Transportation'!S25)*'Baseline Transportation'!S23</f>
        <v>219552497.72977</v>
      </c>
      <c r="T75" s="43">
        <f>('Baseline Transportation'!T46+'Baseline Transportation'!T41+'Baseline Transportation'!T34+'Baseline Transportation'!T25)*'Baseline Transportation'!T23</f>
        <v>224263845.87632182</v>
      </c>
      <c r="U75" s="43">
        <f>('Baseline Transportation'!U46+'Baseline Transportation'!U41+'Baseline Transportation'!U34+'Baseline Transportation'!U25)*'Baseline Transportation'!U23</f>
        <v>228570809.30736548</v>
      </c>
      <c r="V75" s="43">
        <f>('Baseline Transportation'!V46+'Baseline Transportation'!V41+'Baseline Transportation'!V34+'Baseline Transportation'!V25)*'Baseline Transportation'!V23</f>
        <v>232663874.4875077</v>
      </c>
      <c r="W75" s="43">
        <f>('Baseline Transportation'!W46+'Baseline Transportation'!W41+'Baseline Transportation'!W34+'Baseline Transportation'!W25)*'Baseline Transportation'!W23</f>
        <v>236620202.06302062</v>
      </c>
      <c r="X75" s="43">
        <f>('Baseline Transportation'!X46+'Baseline Transportation'!X41+'Baseline Transportation'!X34+'Baseline Transportation'!X25)*'Baseline Transportation'!X23</f>
        <v>240383055.07556784</v>
      </c>
      <c r="Y75" s="43">
        <f>('Baseline Transportation'!Y46+'Baseline Transportation'!Y41+'Baseline Transportation'!Y34+'Baseline Transportation'!Y25)*'Baseline Transportation'!Y23</f>
        <v>244091083.16327462</v>
      </c>
      <c r="Z75" s="43">
        <f>('Baseline Transportation'!Z46+'Baseline Transportation'!Z41+'Baseline Transportation'!Z34+'Baseline Transportation'!Z25)*'Baseline Transportation'!Z23</f>
        <v>247913804.9978824</v>
      </c>
      <c r="AA75" s="43">
        <f>('Baseline Transportation'!AA46+'Baseline Transportation'!AA41+'Baseline Transportation'!AA34+'Baseline Transportation'!AA25)*'Baseline Transportation'!AA23</f>
        <v>251654841.6708495</v>
      </c>
      <c r="AB75" s="43">
        <f>('Baseline Transportation'!AB46+'Baseline Transportation'!AB41+'Baseline Transportation'!AB34+'Baseline Transportation'!AB25)*'Baseline Transportation'!AB23</f>
        <v>255339456.35462737</v>
      </c>
      <c r="AC75" s="43">
        <f>('Baseline Transportation'!AC46+'Baseline Transportation'!AC41+'Baseline Transportation'!AC34+'Baseline Transportation'!AC25)*'Baseline Transportation'!AC23</f>
        <v>259176602.9010455</v>
      </c>
    </row>
    <row r="76" spans="1:30" ht="25.35" customHeight="1" x14ac:dyDescent="0.7">
      <c r="A76" s="121" t="s">
        <v>118</v>
      </c>
      <c r="B76" s="94">
        <v>765099.46928800002</v>
      </c>
      <c r="C76" s="240">
        <f>C74*'Emission Factors and Constants'!$C$92</f>
        <v>574923.62868099951</v>
      </c>
      <c r="D76" s="240">
        <f>D74*'Emission Factors and Constants'!$C$92</f>
        <v>658631.10313782142</v>
      </c>
      <c r="E76" s="240">
        <f>E74*'Emission Factors and Constants'!$C$92</f>
        <v>751459.38110321353</v>
      </c>
      <c r="F76" s="240">
        <f>F74*'Emission Factors and Constants'!$C$92</f>
        <v>842836.73133775522</v>
      </c>
      <c r="G76" s="240">
        <f>G74*'Emission Factors and Constants'!$C$92</f>
        <v>930107.68728991586</v>
      </c>
      <c r="H76" s="240">
        <f>H74*'Emission Factors and Constants'!$C$92</f>
        <v>1014551.6006225253</v>
      </c>
      <c r="I76" s="240">
        <f>I74*'Emission Factors and Constants'!$C$92</f>
        <v>1099213.7711283669</v>
      </c>
      <c r="J76" s="240">
        <f>J74*'Emission Factors and Constants'!$C$92</f>
        <v>1166935.882494584</v>
      </c>
      <c r="K76" s="240">
        <f>K74*'Emission Factors and Constants'!$C$92</f>
        <v>1228643.4443342537</v>
      </c>
      <c r="L76" s="240">
        <f>L74*'Emission Factors and Constants'!$C$92</f>
        <v>1285001.5041212274</v>
      </c>
      <c r="M76" s="240">
        <f>M74*'Emission Factors and Constants'!$C$92</f>
        <v>1334706.2703321457</v>
      </c>
      <c r="N76" s="240">
        <f>N74*'Emission Factors and Constants'!$C$92</f>
        <v>1375851.3306375681</v>
      </c>
      <c r="O76" s="240">
        <f>O74*'Emission Factors and Constants'!$C$92</f>
        <v>1428662.7040203528</v>
      </c>
      <c r="P76" s="240">
        <f>P74*'Emission Factors and Constants'!$C$92</f>
        <v>1472219.5628143831</v>
      </c>
      <c r="Q76" s="240">
        <f>Q74*'Emission Factors and Constants'!$C$92</f>
        <v>1506403.8642447877</v>
      </c>
      <c r="R76" s="240">
        <f>R74*'Emission Factors and Constants'!$C$92</f>
        <v>1533967.8541871572</v>
      </c>
      <c r="S76" s="240">
        <f>S74*'Emission Factors and Constants'!$C$92</f>
        <v>1555907.6853015558</v>
      </c>
      <c r="T76" s="240">
        <f>T74*'Emission Factors and Constants'!$C$92</f>
        <v>1577309.6345649157</v>
      </c>
      <c r="U76" s="240">
        <f>U74*'Emission Factors and Constants'!$C$92</f>
        <v>1595339.1726536318</v>
      </c>
      <c r="V76" s="240">
        <f>V74*'Emission Factors and Constants'!$C$92</f>
        <v>1611429.5791124047</v>
      </c>
      <c r="W76" s="240">
        <f>W74*'Emission Factors and Constants'!$C$92</f>
        <v>1626140.5746964633</v>
      </c>
      <c r="X76" s="240">
        <f>X74*'Emission Factors and Constants'!$C$92</f>
        <v>1639019.813844464</v>
      </c>
      <c r="Y76" s="240">
        <f>Y74*'Emission Factors and Constants'!$C$92</f>
        <v>1651136.5391176555</v>
      </c>
      <c r="Z76" s="240">
        <f>Z74*'Emission Factors and Constants'!$C$92</f>
        <v>1663764.3600678325</v>
      </c>
      <c r="AA76" s="240">
        <f>AA74*'Emission Factors and Constants'!$C$92</f>
        <v>1675427.6574323198</v>
      </c>
      <c r="AB76" s="240">
        <f>AB74*'Emission Factors and Constants'!$C$92</f>
        <v>1686294.0048064461</v>
      </c>
      <c r="AC76" s="240">
        <f>AC74*'Emission Factors and Constants'!$C$92</f>
        <v>1697883.0765820162</v>
      </c>
    </row>
    <row r="77" spans="1:30" ht="24" x14ac:dyDescent="0.85">
      <c r="A77" s="201" t="s">
        <v>58</v>
      </c>
      <c r="B77" s="202"/>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3"/>
    </row>
    <row r="78" spans="1:30" ht="25.35" customHeight="1" x14ac:dyDescent="0.7">
      <c r="A78" s="120"/>
      <c r="B78" s="15">
        <v>2023</v>
      </c>
      <c r="C78" s="15">
        <v>2024</v>
      </c>
      <c r="D78" s="15">
        <v>2025</v>
      </c>
      <c r="E78" s="15">
        <v>2026</v>
      </c>
      <c r="F78" s="15">
        <v>2027</v>
      </c>
      <c r="G78" s="15">
        <v>2028</v>
      </c>
      <c r="H78" s="15">
        <v>2029</v>
      </c>
      <c r="I78" s="15">
        <v>2030</v>
      </c>
      <c r="J78" s="15">
        <v>2031</v>
      </c>
      <c r="K78" s="15">
        <v>2032</v>
      </c>
      <c r="L78" s="15">
        <v>2033</v>
      </c>
      <c r="M78" s="15">
        <v>2034</v>
      </c>
      <c r="N78" s="15">
        <v>2035</v>
      </c>
      <c r="O78" s="15">
        <v>2036</v>
      </c>
      <c r="P78" s="15">
        <v>2037</v>
      </c>
      <c r="Q78" s="15">
        <v>2038</v>
      </c>
      <c r="R78" s="15">
        <v>2039</v>
      </c>
      <c r="S78" s="15">
        <v>2040</v>
      </c>
      <c r="T78" s="15">
        <v>2041</v>
      </c>
      <c r="U78" s="15">
        <v>2042</v>
      </c>
      <c r="V78" s="15">
        <v>2043</v>
      </c>
      <c r="W78" s="15">
        <v>2044</v>
      </c>
      <c r="X78" s="15">
        <v>2045</v>
      </c>
      <c r="Y78" s="15">
        <v>2046</v>
      </c>
      <c r="Z78" s="15">
        <v>2047</v>
      </c>
      <c r="AA78" s="15">
        <v>2048</v>
      </c>
      <c r="AB78" s="15">
        <v>2049</v>
      </c>
      <c r="AC78" s="15">
        <v>2050</v>
      </c>
    </row>
    <row r="79" spans="1:30" ht="25.35" customHeight="1" x14ac:dyDescent="0.7">
      <c r="A79" s="117" t="s">
        <v>292</v>
      </c>
      <c r="B79" s="37">
        <v>252323.36956521741</v>
      </c>
      <c r="C79" s="10">
        <f>'Baseline Transportation'!C152</f>
        <v>246401.83025338702</v>
      </c>
      <c r="D79" s="10">
        <f>'Baseline Transportation'!D152</f>
        <v>240751.85198006098</v>
      </c>
      <c r="E79" s="10">
        <f>'Baseline Transportation'!E152</f>
        <v>235942.8262226565</v>
      </c>
      <c r="F79" s="10">
        <f>'Baseline Transportation'!F152</f>
        <v>231322.15887925072</v>
      </c>
      <c r="G79" s="10">
        <f>'Baseline Transportation'!G152</f>
        <v>226878.9961636829</v>
      </c>
      <c r="H79" s="10">
        <f>'Baseline Transportation'!H152</f>
        <v>222603.30247861936</v>
      </c>
      <c r="I79" s="10">
        <f>'Baseline Transportation'!I152</f>
        <v>218485.78474491081</v>
      </c>
      <c r="J79" s="10">
        <f>'Baseline Transportation'!J152</f>
        <v>214761.59523221347</v>
      </c>
      <c r="K79" s="10">
        <f>'Baseline Transportation'!K152</f>
        <v>211162.23888753948</v>
      </c>
      <c r="L79" s="10">
        <f>'Baseline Transportation'!L152</f>
        <v>207681.5426421405</v>
      </c>
      <c r="M79" s="10">
        <f>'Baseline Transportation'!M152</f>
        <v>204313.73384253823</v>
      </c>
      <c r="N79" s="10">
        <f>'Baseline Transportation'!N152</f>
        <v>201053.40830249773</v>
      </c>
      <c r="O79" s="10">
        <f>'Baseline Transportation'!O152</f>
        <v>199398.82232997243</v>
      </c>
      <c r="P79" s="10">
        <f>'Baseline Transportation'!P152</f>
        <v>197771.24717909991</v>
      </c>
      <c r="Q79" s="10">
        <f>'Baseline Transportation'!Q152</f>
        <v>196170.02678466667</v>
      </c>
      <c r="R79" s="10">
        <f>'Baseline Transportation'!R152</f>
        <v>194594.52615768931</v>
      </c>
      <c r="S79" s="10">
        <f>'Baseline Transportation'!S152</f>
        <v>193044.13054580989</v>
      </c>
      <c r="T79" s="10">
        <f>'Baseline Transportation'!T152</f>
        <v>191440.64404816437</v>
      </c>
      <c r="U79" s="10">
        <f>'Baseline Transportation'!U152</f>
        <v>189863.57625512144</v>
      </c>
      <c r="V79" s="10">
        <f>'Baseline Transportation'!V152</f>
        <v>188312.27959779583</v>
      </c>
      <c r="W79" s="10">
        <f>'Baseline Transportation'!W152</f>
        <v>186786.12749984965</v>
      </c>
      <c r="X79" s="10">
        <f>'Baseline Transportation'!X152</f>
        <v>185284.51353367436</v>
      </c>
      <c r="Y79" s="10">
        <f>'Baseline Transportation'!Y152</f>
        <v>183842.61070461854</v>
      </c>
      <c r="Z79" s="10">
        <f>'Baseline Transportation'!Z152</f>
        <v>182422.97664512345</v>
      </c>
      <c r="AA79" s="10">
        <f>'Baseline Transportation'!AA152</f>
        <v>181025.09942945201</v>
      </c>
      <c r="AB79" s="10">
        <f>'Baseline Transportation'!AB152</f>
        <v>179648.48270375276</v>
      </c>
      <c r="AC79" s="10">
        <f>'Baseline Transportation'!AC152</f>
        <v>178292.64509844137</v>
      </c>
    </row>
    <row r="80" spans="1:30" ht="25.35" customHeight="1" x14ac:dyDescent="0.7">
      <c r="A80" s="117" t="s">
        <v>225</v>
      </c>
      <c r="B80" s="37">
        <v>0</v>
      </c>
      <c r="C80" s="10">
        <f>B80*(1+'Forecast Parameters'!E$15)</f>
        <v>0</v>
      </c>
      <c r="D80" s="10">
        <f>C80*(1+'Forecast Parameters'!F$15)</f>
        <v>0</v>
      </c>
      <c r="E80" s="10">
        <f>D80*(1+'Forecast Parameters'!G$15)</f>
        <v>0</v>
      </c>
      <c r="F80" s="10">
        <f>E80*(1+'Forecast Parameters'!H$15)</f>
        <v>0</v>
      </c>
      <c r="G80" s="10">
        <f>F80*(1+'Forecast Parameters'!I$15)</f>
        <v>0</v>
      </c>
      <c r="H80" s="10">
        <f>G80*(1+'Forecast Parameters'!J$15)</f>
        <v>0</v>
      </c>
      <c r="I80" s="10">
        <f>H80*(1+'Forecast Parameters'!K$15)</f>
        <v>0</v>
      </c>
      <c r="J80" s="10">
        <f>I80*(1+'Forecast Parameters'!L$15)</f>
        <v>0</v>
      </c>
      <c r="K80" s="10">
        <f>J80*(1+'Forecast Parameters'!M$15)</f>
        <v>0</v>
      </c>
      <c r="L80" s="10">
        <f>K80*(1+'Forecast Parameters'!N$15)</f>
        <v>0</v>
      </c>
      <c r="M80" s="10">
        <f>L80*(1+'Forecast Parameters'!O$15)</f>
        <v>0</v>
      </c>
      <c r="N80" s="10">
        <f>M80*(1+'Forecast Parameters'!P$15)</f>
        <v>0</v>
      </c>
      <c r="O80" s="10">
        <f>N80*(1+'Forecast Parameters'!Q$15)</f>
        <v>0</v>
      </c>
      <c r="P80" s="10">
        <f>O80*(1+'Forecast Parameters'!R$15)</f>
        <v>0</v>
      </c>
      <c r="Q80" s="10">
        <f>P80*(1+'Forecast Parameters'!S$15)</f>
        <v>0</v>
      </c>
      <c r="R80" s="10">
        <f>Q80*(1+'Forecast Parameters'!T$15)</f>
        <v>0</v>
      </c>
      <c r="S80" s="10">
        <f>R80*(1+'Forecast Parameters'!U$15)</f>
        <v>0</v>
      </c>
      <c r="T80" s="10">
        <f>S80*(1+'Forecast Parameters'!V$15)</f>
        <v>0</v>
      </c>
      <c r="U80" s="10">
        <f>T80*(1+'Forecast Parameters'!W$15)</f>
        <v>0</v>
      </c>
      <c r="V80" s="10">
        <f>U80*(1+'Forecast Parameters'!X$15)</f>
        <v>0</v>
      </c>
      <c r="W80" s="10">
        <f>V80*(1+'Forecast Parameters'!Y$15)</f>
        <v>0</v>
      </c>
      <c r="X80" s="10">
        <f>W80*(1+'Forecast Parameters'!Z$15)</f>
        <v>0</v>
      </c>
      <c r="Y80" s="10">
        <f>X80*(1+'Forecast Parameters'!AA$15)</f>
        <v>0</v>
      </c>
      <c r="Z80" s="10">
        <f>Y80*(1+'Forecast Parameters'!AB$15)</f>
        <v>0</v>
      </c>
      <c r="AA80" s="10">
        <f>Z80*(1+'Forecast Parameters'!AC$15)</f>
        <v>0</v>
      </c>
      <c r="AB80" s="10">
        <f>AA80*(1+'Forecast Parameters'!AD$15)</f>
        <v>0</v>
      </c>
      <c r="AC80" s="10">
        <f>AB80*(1+'Forecast Parameters'!AE$15)</f>
        <v>0</v>
      </c>
    </row>
    <row r="81" spans="1:30" ht="25.35" customHeight="1" x14ac:dyDescent="0.7">
      <c r="A81" s="117" t="s">
        <v>226</v>
      </c>
      <c r="B81" s="37">
        <v>782046.99999999988</v>
      </c>
      <c r="C81" s="10">
        <f>'Baseline Transportation'!C155</f>
        <v>763693.8761408081</v>
      </c>
      <c r="D81" s="10">
        <f>'Baseline Transportation'!D155</f>
        <v>746182.42420382146</v>
      </c>
      <c r="E81" s="10">
        <f>'Baseline Transportation'!E155</f>
        <v>731277.40699126071</v>
      </c>
      <c r="F81" s="10">
        <f>'Baseline Transportation'!F155</f>
        <v>716956.18482252117</v>
      </c>
      <c r="G81" s="10">
        <f>'Baseline Transportation'!G155</f>
        <v>703185.11764705856</v>
      </c>
      <c r="H81" s="10">
        <f>'Baseline Transportation'!H155</f>
        <v>689933.10129564162</v>
      </c>
      <c r="I81" s="10">
        <f>'Baseline Transportation'!I155</f>
        <v>677171.33294797654</v>
      </c>
      <c r="J81" s="10">
        <f>'Baseline Transportation'!J155</f>
        <v>665628.63977272704</v>
      </c>
      <c r="K81" s="10">
        <f>'Baseline Transportation'!K155</f>
        <v>654472.85251396627</v>
      </c>
      <c r="L81" s="10">
        <f>'Baseline Transportation'!L155</f>
        <v>643684.83846153831</v>
      </c>
      <c r="M81" s="10">
        <f>'Baseline Transportation'!M155</f>
        <v>633246.70594594581</v>
      </c>
      <c r="N81" s="10">
        <f>'Baseline Transportation'!N155</f>
        <v>623141.70531914872</v>
      </c>
      <c r="O81" s="10">
        <f>'Baseline Transportation'!O155</f>
        <v>618013.50812407664</v>
      </c>
      <c r="P81" s="10">
        <f>'Baseline Transportation'!P155</f>
        <v>612969.02783591452</v>
      </c>
      <c r="Q81" s="10">
        <f>'Baseline Transportation'!Q155</f>
        <v>608006.23105667403</v>
      </c>
      <c r="R81" s="10">
        <f>'Baseline Transportation'!R155</f>
        <v>603123.14971169666</v>
      </c>
      <c r="S81" s="10">
        <f>'Baseline Transportation'!S155</f>
        <v>598317.87844739517</v>
      </c>
      <c r="T81" s="10">
        <f>'Baseline Transportation'!T155</f>
        <v>593348.05814424611</v>
      </c>
      <c r="U81" s="10">
        <f>'Baseline Transportation'!U155</f>
        <v>588460.11954992963</v>
      </c>
      <c r="V81" s="10">
        <f>'Baseline Transportation'!V155</f>
        <v>583652.05559984047</v>
      </c>
      <c r="W81" s="10">
        <f>'Baseline Transportation'!W155</f>
        <v>578921.92429333855</v>
      </c>
      <c r="X81" s="10">
        <f>'Baseline Transportation'!X155</f>
        <v>574267.84607843123</v>
      </c>
      <c r="Y81" s="10">
        <f>'Baseline Transportation'!Y155</f>
        <v>569798.8356031127</v>
      </c>
      <c r="Z81" s="10">
        <f>'Baseline Transportation'!Z155</f>
        <v>565398.84459459444</v>
      </c>
      <c r="AA81" s="10">
        <f>'Baseline Transportation'!AA155</f>
        <v>561066.28639846726</v>
      </c>
      <c r="AB81" s="10">
        <f>'Baseline Transportation'!AB155</f>
        <v>556799.62262357399</v>
      </c>
      <c r="AC81" s="10">
        <f>'Baseline Transportation'!AC155</f>
        <v>552597.36132075463</v>
      </c>
    </row>
    <row r="82" spans="1:30" ht="25.35" customHeight="1" x14ac:dyDescent="0.7">
      <c r="A82" s="117" t="s">
        <v>117</v>
      </c>
      <c r="B82" s="37">
        <v>318854.59999999998</v>
      </c>
      <c r="C82" s="10">
        <f>'Baseline Transportation'!C153</f>
        <v>280234.53176010435</v>
      </c>
      <c r="D82" s="10">
        <f>'Baseline Transportation'!D153</f>
        <v>273808.77179617836</v>
      </c>
      <c r="E82" s="10">
        <f>'Baseline Transportation'!E153</f>
        <v>268339.4330337079</v>
      </c>
      <c r="F82" s="10">
        <f>'Baseline Transportation'!F153</f>
        <v>263084.31561811507</v>
      </c>
      <c r="G82" s="10">
        <f>'Baseline Transportation'!G153</f>
        <v>258031.0754621849</v>
      </c>
      <c r="H82" s="10">
        <f>'Baseline Transportation'!H153</f>
        <v>253168.29901060075</v>
      </c>
      <c r="I82" s="10">
        <f>'Baseline Transportation'!I153</f>
        <v>248485.41717919079</v>
      </c>
      <c r="J82" s="10">
        <f>'Baseline Transportation'!J153</f>
        <v>244249.87029545457</v>
      </c>
      <c r="K82" s="10">
        <f>'Baseline Transportation'!K153</f>
        <v>240156.29705027939</v>
      </c>
      <c r="L82" s="10">
        <f>'Baseline Transportation'!L153</f>
        <v>236197.67676923081</v>
      </c>
      <c r="M82" s="10">
        <f>'Baseline Transportation'!M153</f>
        <v>232367.44417297302</v>
      </c>
      <c r="N82" s="10">
        <f>'Baseline Transportation'!N153</f>
        <v>228659.45304255321</v>
      </c>
      <c r="O82" s="10">
        <f>'Baseline Transportation'!O153</f>
        <v>226777.68079763668</v>
      </c>
      <c r="P82" s="10">
        <f>'Baseline Transportation'!P153</f>
        <v>224926.62814985352</v>
      </c>
      <c r="Q82" s="10">
        <f>'Baseline Transportation'!Q153</f>
        <v>223105.54895162967</v>
      </c>
      <c r="R82" s="10">
        <f>'Baseline Transportation'!R153</f>
        <v>221313.72102553546</v>
      </c>
      <c r="S82" s="10">
        <f>'Baseline Transportation'!S153</f>
        <v>219550.44520939735</v>
      </c>
      <c r="T82" s="10">
        <f>'Baseline Transportation'!T153</f>
        <v>217726.78875607779</v>
      </c>
      <c r="U82" s="10">
        <f>'Baseline Transportation'!U153</f>
        <v>215933.1784810127</v>
      </c>
      <c r="V82" s="10">
        <f>'Baseline Transportation'!V153</f>
        <v>214168.87789956163</v>
      </c>
      <c r="W82" s="10">
        <f>'Baseline Transportation'!W153</f>
        <v>212433.17440205583</v>
      </c>
      <c r="X82" s="10">
        <f>'Baseline Transportation'!X153</f>
        <v>210725.37829411766</v>
      </c>
      <c r="Y82" s="10">
        <f>'Baseline Transportation'!Y153</f>
        <v>209085.49208171209</v>
      </c>
      <c r="Z82" s="10">
        <f>'Baseline Transportation'!Z153</f>
        <v>207470.93229729735</v>
      </c>
      <c r="AA82" s="10">
        <f>'Baseline Transportation'!AA153</f>
        <v>205881.116724138</v>
      </c>
      <c r="AB82" s="10">
        <f>'Baseline Transportation'!AB153</f>
        <v>204315.48085551336</v>
      </c>
      <c r="AC82" s="10">
        <f>'Baseline Transportation'!AC153</f>
        <v>202773.47722641513</v>
      </c>
    </row>
    <row r="83" spans="1:30" ht="25.35" customHeight="1" x14ac:dyDescent="0.7">
      <c r="A83" s="117" t="s">
        <v>227</v>
      </c>
      <c r="B83" s="37">
        <v>88578.938999999998</v>
      </c>
      <c r="C83" s="10">
        <f>'Baseline Transportation'!C151</f>
        <v>86427.22388259109</v>
      </c>
      <c r="D83" s="10">
        <f>'Baseline Transportation'!D151</f>
        <v>84275.508765182196</v>
      </c>
      <c r="E83" s="10">
        <f>'Baseline Transportation'!E151</f>
        <v>82554.136671255066</v>
      </c>
      <c r="F83" s="10">
        <f>'Baseline Transportation'!F151</f>
        <v>80832.764577327936</v>
      </c>
      <c r="G83" s="10">
        <f>'Baseline Transportation'!G151</f>
        <v>79111.392483400807</v>
      </c>
      <c r="H83" s="10">
        <f>'Baseline Transportation'!H151</f>
        <v>77390.020389473677</v>
      </c>
      <c r="I83" s="10">
        <f>'Baseline Transportation'!I151</f>
        <v>75668.648295546562</v>
      </c>
      <c r="J83" s="10">
        <f>'Baseline Transportation'!J151</f>
        <v>74234.171550607294</v>
      </c>
      <c r="K83" s="10">
        <f>'Baseline Transportation'!K151</f>
        <v>72799.694805668027</v>
      </c>
      <c r="L83" s="10">
        <f>'Baseline Transportation'!L151</f>
        <v>71365.218060728759</v>
      </c>
      <c r="M83" s="10">
        <f>'Baseline Transportation'!M151</f>
        <v>69930.741315789506</v>
      </c>
      <c r="N83" s="10">
        <f>'Baseline Transportation'!N151</f>
        <v>68496.264570850224</v>
      </c>
      <c r="O83" s="10">
        <f>'Baseline Transportation'!O151</f>
        <v>67994.197710121487</v>
      </c>
      <c r="P83" s="10">
        <f>'Baseline Transportation'!P151</f>
        <v>67492.130849392735</v>
      </c>
      <c r="Q83" s="10">
        <f>'Baseline Transportation'!Q151</f>
        <v>66990.063988663998</v>
      </c>
      <c r="R83" s="10">
        <f>'Baseline Transportation'!R151</f>
        <v>66487.997127935247</v>
      </c>
      <c r="S83" s="10">
        <f>'Baseline Transportation'!S151</f>
        <v>65985.930267206495</v>
      </c>
      <c r="T83" s="10">
        <f>'Baseline Transportation'!T151</f>
        <v>65483.863406477751</v>
      </c>
      <c r="U83" s="10">
        <f>'Baseline Transportation'!U151</f>
        <v>64981.796545749006</v>
      </c>
      <c r="V83" s="10">
        <f>'Baseline Transportation'!V151</f>
        <v>64479.729685020255</v>
      </c>
      <c r="W83" s="10">
        <f>'Baseline Transportation'!W151</f>
        <v>63977.66282429151</v>
      </c>
      <c r="X83" s="10">
        <f>'Baseline Transportation'!X151</f>
        <v>63475.595963562773</v>
      </c>
      <c r="Y83" s="10">
        <f>'Baseline Transportation'!Y151</f>
        <v>62973.529102834022</v>
      </c>
      <c r="Z83" s="10">
        <f>'Baseline Transportation'!Z151</f>
        <v>62471.462242105263</v>
      </c>
      <c r="AA83" s="10">
        <f>'Baseline Transportation'!AA151</f>
        <v>61969.395381376526</v>
      </c>
      <c r="AB83" s="10">
        <f>'Baseline Transportation'!AB151</f>
        <v>61467.328520647774</v>
      </c>
      <c r="AC83" s="10">
        <f>'Baseline Transportation'!AC151</f>
        <v>60965.261659919037</v>
      </c>
    </row>
    <row r="84" spans="1:30" ht="25.35" customHeight="1" x14ac:dyDescent="0.7">
      <c r="A84" s="117" t="s">
        <v>445</v>
      </c>
      <c r="B84" s="37">
        <v>2373.9155651999999</v>
      </c>
      <c r="C84" s="10">
        <f>C83*'Emission Factors and Constants'!$C$92</f>
        <v>2316.2496000534411</v>
      </c>
      <c r="D84" s="10">
        <f>D83*'Emission Factors and Constants'!$C$92</f>
        <v>2258.5836349068827</v>
      </c>
      <c r="E84" s="10">
        <f>E83*'Emission Factors and Constants'!$C$92</f>
        <v>2212.4508627896357</v>
      </c>
      <c r="F84" s="10">
        <f>F83*'Emission Factors and Constants'!$C$92</f>
        <v>2166.3180906723887</v>
      </c>
      <c r="G84" s="10">
        <f>G83*'Emission Factors and Constants'!$C$92</f>
        <v>2120.1853185551417</v>
      </c>
      <c r="H84" s="10">
        <f>H83*'Emission Factors and Constants'!$C$92</f>
        <v>2074.0525464378948</v>
      </c>
      <c r="I84" s="10">
        <f>I83*'Emission Factors and Constants'!$C$92</f>
        <v>2027.919774320648</v>
      </c>
      <c r="J84" s="10">
        <f>J83*'Emission Factors and Constants'!$C$92</f>
        <v>1989.4757975562754</v>
      </c>
      <c r="K84" s="10">
        <f>K83*'Emission Factors and Constants'!$C$92</f>
        <v>1951.0318207919031</v>
      </c>
      <c r="L84" s="10">
        <f>L83*'Emission Factors and Constants'!$C$92</f>
        <v>1912.5878440275308</v>
      </c>
      <c r="M84" s="10">
        <f>M83*'Emission Factors and Constants'!$C$92</f>
        <v>1874.1438672631589</v>
      </c>
      <c r="N84" s="10">
        <f>N83*'Emission Factors and Constants'!$C$92</f>
        <v>1835.6998904987861</v>
      </c>
      <c r="O84" s="10">
        <f>O83*'Emission Factors and Constants'!$C$92</f>
        <v>1822.244498631256</v>
      </c>
      <c r="P84" s="10">
        <f>P83*'Emission Factors and Constants'!$C$92</f>
        <v>1808.7891067637254</v>
      </c>
      <c r="Q84" s="10">
        <f>Q83*'Emission Factors and Constants'!$C$92</f>
        <v>1795.3337148961953</v>
      </c>
      <c r="R84" s="10">
        <f>R83*'Emission Factors and Constants'!$C$92</f>
        <v>1781.8783230286647</v>
      </c>
      <c r="S84" s="10">
        <f>S83*'Emission Factors and Constants'!$C$92</f>
        <v>1768.4229311611341</v>
      </c>
      <c r="T84" s="10">
        <f>T83*'Emission Factors and Constants'!$C$92</f>
        <v>1754.9675392936037</v>
      </c>
      <c r="U84" s="10">
        <f>U83*'Emission Factors and Constants'!$C$92</f>
        <v>1741.5121474260734</v>
      </c>
      <c r="V84" s="10">
        <f>V83*'Emission Factors and Constants'!$C$92</f>
        <v>1728.0567555585428</v>
      </c>
      <c r="W84" s="10">
        <f>W83*'Emission Factors and Constants'!$C$92</f>
        <v>1714.6013636910125</v>
      </c>
      <c r="X84" s="10">
        <f>X83*'Emission Factors and Constants'!$C$92</f>
        <v>1701.1459718234823</v>
      </c>
      <c r="Y84" s="10">
        <f>Y83*'Emission Factors and Constants'!$C$92</f>
        <v>1687.6905799559518</v>
      </c>
      <c r="Z84" s="10">
        <f>Z83*'Emission Factors and Constants'!$C$92</f>
        <v>1674.2351880884212</v>
      </c>
      <c r="AA84" s="10">
        <f>AA83*'Emission Factors and Constants'!$C$92</f>
        <v>1660.7797962208908</v>
      </c>
      <c r="AB84" s="10">
        <f>AB83*'Emission Factors and Constants'!$C$92</f>
        <v>1647.3244043533605</v>
      </c>
      <c r="AC84" s="10">
        <f>AC83*'Emission Factors and Constants'!$C$92</f>
        <v>1633.8690124858304</v>
      </c>
    </row>
    <row r="85" spans="1:30" ht="24" x14ac:dyDescent="0.85">
      <c r="A85" s="201" t="s">
        <v>59</v>
      </c>
      <c r="B85" s="202"/>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3"/>
    </row>
    <row r="86" spans="1:30" ht="25.35" customHeight="1" x14ac:dyDescent="0.7">
      <c r="A86" s="120"/>
      <c r="B86" s="15">
        <v>2023</v>
      </c>
      <c r="C86" s="15">
        <v>2024</v>
      </c>
      <c r="D86" s="15">
        <v>2025</v>
      </c>
      <c r="E86" s="15">
        <v>2026</v>
      </c>
      <c r="F86" s="15">
        <v>2027</v>
      </c>
      <c r="G86" s="15">
        <v>2028</v>
      </c>
      <c r="H86" s="15">
        <v>2029</v>
      </c>
      <c r="I86" s="15">
        <v>2030</v>
      </c>
      <c r="J86" s="15">
        <v>2031</v>
      </c>
      <c r="K86" s="15">
        <v>2032</v>
      </c>
      <c r="L86" s="15">
        <v>2033</v>
      </c>
      <c r="M86" s="15">
        <v>2034</v>
      </c>
      <c r="N86" s="15">
        <v>2035</v>
      </c>
      <c r="O86" s="15">
        <v>2036</v>
      </c>
      <c r="P86" s="15">
        <v>2037</v>
      </c>
      <c r="Q86" s="15">
        <v>2038</v>
      </c>
      <c r="R86" s="15">
        <v>2039</v>
      </c>
      <c r="S86" s="15">
        <v>2040</v>
      </c>
      <c r="T86" s="15">
        <v>2041</v>
      </c>
      <c r="U86" s="15">
        <v>2042</v>
      </c>
      <c r="V86" s="15">
        <v>2043</v>
      </c>
      <c r="W86" s="15">
        <v>2044</v>
      </c>
      <c r="X86" s="15">
        <v>2045</v>
      </c>
      <c r="Y86" s="15">
        <v>2046</v>
      </c>
      <c r="Z86" s="15">
        <v>2047</v>
      </c>
      <c r="AA86" s="15">
        <v>2048</v>
      </c>
      <c r="AB86" s="15">
        <v>2049</v>
      </c>
      <c r="AC86" s="15">
        <v>2050</v>
      </c>
    </row>
    <row r="87" spans="1:30" ht="25.35" customHeight="1" x14ac:dyDescent="0.7">
      <c r="A87" s="122" t="s">
        <v>449</v>
      </c>
      <c r="B87" s="95">
        <v>354199.473</v>
      </c>
      <c r="C87" s="187">
        <f>B87*(1+'Forecast Parameters'!F$15)</f>
        <v>355213.12032966514</v>
      </c>
      <c r="D87" s="187">
        <f>C87*(1+'Forecast Parameters'!G$15)</f>
        <v>356226.76765933027</v>
      </c>
      <c r="E87" s="187">
        <f>D87*(1+'Forecast Parameters'!H$15)</f>
        <v>356957.9607965895</v>
      </c>
      <c r="F87" s="187">
        <f>E87*(1+'Forecast Parameters'!I$15)</f>
        <v>357689.15393384878</v>
      </c>
      <c r="G87" s="187">
        <f>F87*(1+'Forecast Parameters'!J$15)</f>
        <v>358420.34707110794</v>
      </c>
      <c r="H87" s="187">
        <f>G87*(1+'Forecast Parameters'!K$15)</f>
        <v>359151.54020836717</v>
      </c>
      <c r="I87" s="187">
        <f>H87*(1+'Forecast Parameters'!L$15)</f>
        <v>359882.73334562639</v>
      </c>
      <c r="J87" s="187">
        <f>I87*(1+'Forecast Parameters'!M$15)</f>
        <v>360279.97765746363</v>
      </c>
      <c r="K87" s="187">
        <f>J87*(1+'Forecast Parameters'!N$15)</f>
        <v>360677.221969301</v>
      </c>
      <c r="L87" s="187">
        <f>K87*(1+'Forecast Parameters'!O$15)</f>
        <v>361074.4662811383</v>
      </c>
      <c r="M87" s="187">
        <f>L87*(1+'Forecast Parameters'!P$15)</f>
        <v>361471.71059297567</v>
      </c>
      <c r="N87" s="187">
        <f>M87*(1+'Forecast Parameters'!Q$15)</f>
        <v>361868.95490481297</v>
      </c>
      <c r="O87" s="187">
        <f>N87*(1+'Forecast Parameters'!R$15)</f>
        <v>361899.68310100253</v>
      </c>
      <c r="P87" s="187">
        <f>O87*(1+'Forecast Parameters'!S$15)</f>
        <v>361930.4112971921</v>
      </c>
      <c r="Q87" s="187">
        <f>P87*(1+'Forecast Parameters'!T$15)</f>
        <v>361961.13949338172</v>
      </c>
      <c r="R87" s="187">
        <f>Q87*(1+'Forecast Parameters'!U$15)</f>
        <v>361991.86768957129</v>
      </c>
      <c r="S87" s="187">
        <f>R87*(1+'Forecast Parameters'!V$15)</f>
        <v>362022.59588576085</v>
      </c>
      <c r="T87" s="187">
        <f>S87*(1+'Forecast Parameters'!W$15)</f>
        <v>361811.17670050636</v>
      </c>
      <c r="U87" s="187">
        <f>T87*(1+'Forecast Parameters'!X$15)</f>
        <v>361599.75751525193</v>
      </c>
      <c r="V87" s="187">
        <f>U87*(1+'Forecast Parameters'!Y$15)</f>
        <v>361388.33832999744</v>
      </c>
      <c r="W87" s="187">
        <f>V87*(1+'Forecast Parameters'!Z$15)</f>
        <v>361176.91914474301</v>
      </c>
      <c r="X87" s="187">
        <f>W87*(1+'Forecast Parameters'!AA$15)</f>
        <v>360965.49995948852</v>
      </c>
      <c r="Y87" s="187">
        <f>X87*(1+'Forecast Parameters'!AB$15)</f>
        <v>360518.82999542606</v>
      </c>
      <c r="Z87" s="187">
        <f>Y87*(1+'Forecast Parameters'!AC$15)</f>
        <v>360072.16003136366</v>
      </c>
      <c r="AA87" s="187">
        <f>Z87*(1+'Forecast Parameters'!AD$15)</f>
        <v>359625.4900673012</v>
      </c>
      <c r="AB87" s="187">
        <f>AA87*(1+'Forecast Parameters'!AE$15)</f>
        <v>359178.8201032388</v>
      </c>
      <c r="AC87" s="187">
        <f>AB87*(1+'Forecast Parameters'!AF$15)</f>
        <v>358732.15013917634</v>
      </c>
    </row>
    <row r="88" spans="1:30" ht="25.35" customHeight="1" x14ac:dyDescent="0.7">
      <c r="A88" s="122" t="s">
        <v>450</v>
      </c>
      <c r="B88" s="95">
        <v>0</v>
      </c>
      <c r="C88" s="187">
        <f>B88*(1+'Forecast Parameters'!J71+'Forecast Parameters'!D39)</f>
        <v>0</v>
      </c>
      <c r="D88" s="187">
        <f>C88*(1+'Forecast Parameters'!K71+'Forecast Parameters'!E39)</f>
        <v>0</v>
      </c>
      <c r="E88" s="187">
        <f>D88*(1+'Forecast Parameters'!L71+'Forecast Parameters'!F39)</f>
        <v>0</v>
      </c>
      <c r="F88" s="187">
        <f>E88*(1+'Forecast Parameters'!M71+'Forecast Parameters'!G39)</f>
        <v>0</v>
      </c>
      <c r="G88" s="187">
        <f>F88*(1+'Forecast Parameters'!N71+'Forecast Parameters'!H39)</f>
        <v>0</v>
      </c>
      <c r="H88" s="187">
        <f>G88*(1+'Forecast Parameters'!O71+'Forecast Parameters'!I39)</f>
        <v>0</v>
      </c>
      <c r="I88" s="187">
        <f>H88*(1+'Forecast Parameters'!P71+'Forecast Parameters'!J39)</f>
        <v>0</v>
      </c>
      <c r="J88" s="187">
        <f>I88*(1+'Forecast Parameters'!Q71+'Forecast Parameters'!K39)</f>
        <v>0</v>
      </c>
      <c r="K88" s="187">
        <f>J88*(1+'Forecast Parameters'!R71+'Forecast Parameters'!L39)</f>
        <v>0</v>
      </c>
      <c r="L88" s="187">
        <f>K88*(1+'Forecast Parameters'!S71+'Forecast Parameters'!M39)</f>
        <v>0</v>
      </c>
      <c r="M88" s="187">
        <f>L88*(1+'Forecast Parameters'!T71+'Forecast Parameters'!N39)</f>
        <v>0</v>
      </c>
      <c r="N88" s="187">
        <f>M88*(1+'Forecast Parameters'!U71+'Forecast Parameters'!O39)</f>
        <v>0</v>
      </c>
      <c r="O88" s="187">
        <f>N88*(1+'Forecast Parameters'!V71+'Forecast Parameters'!P39)</f>
        <v>0</v>
      </c>
      <c r="P88" s="187">
        <f>O88*(1+'Forecast Parameters'!W71+'Forecast Parameters'!Q39)</f>
        <v>0</v>
      </c>
      <c r="Q88" s="187">
        <f>P88*(1+'Forecast Parameters'!X71+'Forecast Parameters'!R39)</f>
        <v>0</v>
      </c>
      <c r="R88" s="187">
        <f>Q88*(1+'Forecast Parameters'!Y71+'Forecast Parameters'!S39)</f>
        <v>0</v>
      </c>
      <c r="S88" s="187">
        <f>R88*(1+'Forecast Parameters'!Z71+'Forecast Parameters'!T39)</f>
        <v>0</v>
      </c>
      <c r="T88" s="187">
        <f>S88*(1+'Forecast Parameters'!AA71+'Forecast Parameters'!U39)</f>
        <v>0</v>
      </c>
      <c r="U88" s="187">
        <f>T88*(1+'Forecast Parameters'!AB71+'Forecast Parameters'!V39)</f>
        <v>0</v>
      </c>
      <c r="V88" s="187">
        <f>U88*(1+'Forecast Parameters'!AC71+'Forecast Parameters'!W39)</f>
        <v>0</v>
      </c>
      <c r="W88" s="187">
        <f>V88*(1+'Forecast Parameters'!AD71+'Forecast Parameters'!X39)</f>
        <v>0</v>
      </c>
      <c r="X88" s="187">
        <f>W88*(1+'Forecast Parameters'!AE71+'Forecast Parameters'!Y39)</f>
        <v>0</v>
      </c>
      <c r="Y88" s="187">
        <f>X88*(1+'Forecast Parameters'!AF71+'Forecast Parameters'!Z39)</f>
        <v>0</v>
      </c>
      <c r="Z88" s="187">
        <f>Y88*(1+'Forecast Parameters'!AG71+'Forecast Parameters'!AA39)</f>
        <v>0</v>
      </c>
      <c r="AA88" s="187">
        <f>Z88*(1+'Forecast Parameters'!AH71+'Forecast Parameters'!AB39)</f>
        <v>0</v>
      </c>
      <c r="AB88" s="187">
        <f>AA88*(1+'Forecast Parameters'!AI71+'Forecast Parameters'!AC39)</f>
        <v>0</v>
      </c>
      <c r="AC88" s="187">
        <f>AB88*(1+'Forecast Parameters'!AJ71+'Forecast Parameters'!AD39)</f>
        <v>0</v>
      </c>
    </row>
    <row r="89" spans="1:30" ht="25.35" customHeight="1" x14ac:dyDescent="0.7">
      <c r="A89" s="117" t="s">
        <v>446</v>
      </c>
      <c r="B89" s="37">
        <v>3444</v>
      </c>
      <c r="C89" s="10">
        <f>B89*(1+'Forecast Parameters'!F$15)</f>
        <v>3453.8560321781356</v>
      </c>
      <c r="D89" s="10">
        <f>C89*(1+'Forecast Parameters'!G$15)</f>
        <v>3463.7120643562716</v>
      </c>
      <c r="E89" s="10">
        <f>D89*(1+'Forecast Parameters'!H$15)</f>
        <v>3470.8216999053925</v>
      </c>
      <c r="F89" s="10">
        <f>E89*(1+'Forecast Parameters'!I$15)</f>
        <v>3477.9313354545138</v>
      </c>
      <c r="G89" s="10">
        <f>F89*(1+'Forecast Parameters'!J$15)</f>
        <v>3485.0409710036342</v>
      </c>
      <c r="H89" s="10">
        <f>G89*(1+'Forecast Parameters'!K$15)</f>
        <v>3492.1506065527556</v>
      </c>
      <c r="I89" s="10">
        <f>H89*(1+'Forecast Parameters'!L$15)</f>
        <v>3499.2602421018769</v>
      </c>
      <c r="J89" s="10">
        <f>I89*(1+'Forecast Parameters'!M$15)</f>
        <v>3503.1227814737736</v>
      </c>
      <c r="K89" s="10">
        <f>J89*(1+'Forecast Parameters'!N$15)</f>
        <v>3506.9853208456711</v>
      </c>
      <c r="L89" s="10">
        <f>K89*(1+'Forecast Parameters'!O$15)</f>
        <v>3510.8478602175683</v>
      </c>
      <c r="M89" s="10">
        <f>L89*(1+'Forecast Parameters'!P$15)</f>
        <v>3514.7103995894659</v>
      </c>
      <c r="N89" s="10">
        <f>M89*(1+'Forecast Parameters'!Q$15)</f>
        <v>3518.572938961363</v>
      </c>
      <c r="O89" s="10">
        <f>N89*(1+'Forecast Parameters'!R$15)</f>
        <v>3518.8717194953388</v>
      </c>
      <c r="P89" s="10">
        <f>O89*(1+'Forecast Parameters'!S$15)</f>
        <v>3519.1705000293146</v>
      </c>
      <c r="Q89" s="10">
        <f>P89*(1+'Forecast Parameters'!T$15)</f>
        <v>3519.4692805632908</v>
      </c>
      <c r="R89" s="10">
        <f>Q89*(1+'Forecast Parameters'!U$15)</f>
        <v>3519.7680610972661</v>
      </c>
      <c r="S89" s="10">
        <f>R89*(1+'Forecast Parameters'!V$15)</f>
        <v>3520.0668416312419</v>
      </c>
      <c r="T89" s="10">
        <f>S89*(1+'Forecast Parameters'!W$15)</f>
        <v>3518.0111421468541</v>
      </c>
      <c r="U89" s="10">
        <f>T89*(1+'Forecast Parameters'!X$15)</f>
        <v>3515.9554426624668</v>
      </c>
      <c r="V89" s="10">
        <f>U89*(1+'Forecast Parameters'!Y$15)</f>
        <v>3513.8997431780795</v>
      </c>
      <c r="W89" s="10">
        <f>V89*(1+'Forecast Parameters'!Z$15)</f>
        <v>3511.8440436936921</v>
      </c>
      <c r="X89" s="10">
        <f>W89*(1+'Forecast Parameters'!AA$15)</f>
        <v>3509.7883442093043</v>
      </c>
      <c r="Y89" s="10">
        <f>X89*(1+'Forecast Parameters'!AB$15)</f>
        <v>3505.4452226817602</v>
      </c>
      <c r="Z89" s="10">
        <f>Y89*(1+'Forecast Parameters'!AC$15)</f>
        <v>3501.1021011542166</v>
      </c>
      <c r="AA89" s="10">
        <f>Z89*(1+'Forecast Parameters'!AD$15)</f>
        <v>3496.7589796266725</v>
      </c>
      <c r="AB89" s="10">
        <f>AA89*(1+'Forecast Parameters'!AE$15)</f>
        <v>3492.4158580991289</v>
      </c>
      <c r="AC89" s="10">
        <f>AB89*(1+'Forecast Parameters'!AF$15)</f>
        <v>3488.0727365715848</v>
      </c>
    </row>
    <row r="90" spans="1:30" ht="25.35" customHeight="1" x14ac:dyDescent="0.7">
      <c r="A90" s="121" t="s">
        <v>447</v>
      </c>
      <c r="B90" s="94">
        <v>36662.050000000003</v>
      </c>
      <c r="C90" s="189">
        <f>B90*(1+'Forecast Parameters'!F$15)</f>
        <v>36766.969379940892</v>
      </c>
      <c r="D90" s="189">
        <f>C90*(1+'Forecast Parameters'!G$15)</f>
        <v>36871.888759881782</v>
      </c>
      <c r="E90" s="189">
        <f>D90*(1+'Forecast Parameters'!H$15)</f>
        <v>36947.572213419429</v>
      </c>
      <c r="F90" s="189">
        <f>E90*(1+'Forecast Parameters'!I$15)</f>
        <v>37023.255666957077</v>
      </c>
      <c r="G90" s="189">
        <f>F90*(1+'Forecast Parameters'!J$15)</f>
        <v>37098.939120494717</v>
      </c>
      <c r="H90" s="189">
        <f>G90*(1+'Forecast Parameters'!K$15)</f>
        <v>37174.622574032364</v>
      </c>
      <c r="I90" s="189">
        <f>H90*(1+'Forecast Parameters'!L$15)</f>
        <v>37250.306027570012</v>
      </c>
      <c r="J90" s="189">
        <f>I90*(1+'Forecast Parameters'!M$15)</f>
        <v>37291.423510607019</v>
      </c>
      <c r="K90" s="189">
        <f>J90*(1+'Forecast Parameters'!N$15)</f>
        <v>37332.540993644034</v>
      </c>
      <c r="L90" s="189">
        <f>K90*(1+'Forecast Parameters'!O$15)</f>
        <v>37373.658476681048</v>
      </c>
      <c r="M90" s="189">
        <f>L90*(1+'Forecast Parameters'!P$15)</f>
        <v>37414.775959718063</v>
      </c>
      <c r="N90" s="189">
        <f>M90*(1+'Forecast Parameters'!Q$15)</f>
        <v>37455.89344275507</v>
      </c>
      <c r="O90" s="189">
        <f>N90*(1+'Forecast Parameters'!R$15)</f>
        <v>37459.074019664375</v>
      </c>
      <c r="P90" s="189">
        <f>O90*(1+'Forecast Parameters'!S$15)</f>
        <v>37462.254596573679</v>
      </c>
      <c r="Q90" s="189">
        <f>P90*(1+'Forecast Parameters'!T$15)</f>
        <v>37465.435173482991</v>
      </c>
      <c r="R90" s="189">
        <f>Q90*(1+'Forecast Parameters'!U$15)</f>
        <v>37468.615750392295</v>
      </c>
      <c r="S90" s="189">
        <f>R90*(1+'Forecast Parameters'!V$15)</f>
        <v>37471.796327301599</v>
      </c>
      <c r="T90" s="189">
        <f>S90*(1+'Forecast Parameters'!W$15)</f>
        <v>37449.913006371986</v>
      </c>
      <c r="U90" s="189">
        <f>T90*(1+'Forecast Parameters'!X$15)</f>
        <v>37428.02968544238</v>
      </c>
      <c r="V90" s="189">
        <f>U90*(1+'Forecast Parameters'!Y$15)</f>
        <v>37406.146364512766</v>
      </c>
      <c r="W90" s="189">
        <f>V90*(1+'Forecast Parameters'!Z$15)</f>
        <v>37384.26304358316</v>
      </c>
      <c r="X90" s="189">
        <f>W90*(1+'Forecast Parameters'!AA$15)</f>
        <v>37362.379722653546</v>
      </c>
      <c r="Y90" s="189">
        <f>X90*(1+'Forecast Parameters'!AB$15)</f>
        <v>37316.146349076625</v>
      </c>
      <c r="Z90" s="189">
        <f>Y90*(1+'Forecast Parameters'!AC$15)</f>
        <v>37269.912975499712</v>
      </c>
      <c r="AA90" s="189">
        <f>Z90*(1+'Forecast Parameters'!AD$15)</f>
        <v>37223.679601922791</v>
      </c>
      <c r="AB90" s="189">
        <f>AA90*(1+'Forecast Parameters'!AE$15)</f>
        <v>37177.446228345878</v>
      </c>
      <c r="AC90" s="189">
        <f>AB90*(1+'Forecast Parameters'!AF$15)</f>
        <v>37131.212854768957</v>
      </c>
    </row>
    <row r="91" spans="1:30" ht="26.4" x14ac:dyDescent="0.9">
      <c r="A91" s="77" t="s">
        <v>136</v>
      </c>
      <c r="B91" s="78"/>
      <c r="C91" s="78"/>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9"/>
    </row>
    <row r="92" spans="1:30" ht="24" x14ac:dyDescent="0.85">
      <c r="A92" s="217" t="s">
        <v>32</v>
      </c>
      <c r="B92" s="218"/>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c r="AA92" s="218"/>
      <c r="AB92" s="218"/>
      <c r="AC92" s="219"/>
    </row>
    <row r="93" spans="1:30" ht="25.35" customHeight="1" x14ac:dyDescent="0.7">
      <c r="A93" s="62"/>
      <c r="B93" s="12">
        <v>2023</v>
      </c>
      <c r="C93" s="12">
        <v>2024</v>
      </c>
      <c r="D93" s="12">
        <v>2025</v>
      </c>
      <c r="E93" s="12">
        <v>2026</v>
      </c>
      <c r="F93" s="12">
        <v>2027</v>
      </c>
      <c r="G93" s="12">
        <v>2028</v>
      </c>
      <c r="H93" s="12">
        <v>2029</v>
      </c>
      <c r="I93" s="12">
        <v>2030</v>
      </c>
      <c r="J93" s="12">
        <v>2031</v>
      </c>
      <c r="K93" s="12">
        <v>2032</v>
      </c>
      <c r="L93" s="12">
        <v>2033</v>
      </c>
      <c r="M93" s="12">
        <v>2034</v>
      </c>
      <c r="N93" s="12">
        <v>2035</v>
      </c>
      <c r="O93" s="12">
        <v>2036</v>
      </c>
      <c r="P93" s="12">
        <v>2037</v>
      </c>
      <c r="Q93" s="12">
        <v>2038</v>
      </c>
      <c r="R93" s="12">
        <v>2039</v>
      </c>
      <c r="S93" s="12">
        <v>2040</v>
      </c>
      <c r="T93" s="12">
        <v>2041</v>
      </c>
      <c r="U93" s="12">
        <v>2042</v>
      </c>
      <c r="V93" s="12">
        <v>2043</v>
      </c>
      <c r="W93" s="12">
        <v>2044</v>
      </c>
      <c r="X93" s="12">
        <v>2045</v>
      </c>
      <c r="Y93" s="12">
        <v>2046</v>
      </c>
      <c r="Z93" s="12">
        <v>2047</v>
      </c>
      <c r="AA93" s="12">
        <v>2048</v>
      </c>
      <c r="AB93" s="12">
        <v>2049</v>
      </c>
      <c r="AC93" s="11">
        <v>2050</v>
      </c>
    </row>
    <row r="94" spans="1:30" ht="24" x14ac:dyDescent="0.85">
      <c r="A94" s="248" t="s">
        <v>451</v>
      </c>
      <c r="B94" s="249"/>
      <c r="C94" s="249"/>
      <c r="D94" s="249"/>
      <c r="E94" s="249"/>
      <c r="F94" s="249"/>
      <c r="G94" s="249"/>
      <c r="H94" s="249"/>
      <c r="I94" s="249"/>
      <c r="J94" s="249"/>
      <c r="K94" s="249"/>
      <c r="L94" s="249"/>
      <c r="M94" s="249"/>
      <c r="N94" s="249"/>
      <c r="O94" s="249"/>
      <c r="P94" s="249"/>
      <c r="Q94" s="249"/>
      <c r="R94" s="249"/>
      <c r="S94" s="249"/>
      <c r="T94" s="249"/>
      <c r="U94" s="249"/>
      <c r="V94" s="249"/>
      <c r="W94" s="249"/>
      <c r="X94" s="249"/>
      <c r="Y94" s="249"/>
      <c r="Z94" s="249"/>
      <c r="AA94" s="249"/>
      <c r="AB94" s="249"/>
      <c r="AC94" s="250"/>
    </row>
    <row r="95" spans="1:30" ht="25.35" customHeight="1" x14ac:dyDescent="0.7">
      <c r="A95" s="117" t="s">
        <v>188</v>
      </c>
      <c r="B95" s="190">
        <v>390582.24910574389</v>
      </c>
      <c r="C95" s="10">
        <f>(C48/'Emission Factors and Constants'!$A$7)*'Forecast Parameters'!D$122</f>
        <v>368381.48964478832</v>
      </c>
      <c r="D95" s="10">
        <f>(D48/'Emission Factors and Constants'!$A$7)*'Forecast Parameters'!E$122</f>
        <v>346533.32280819584</v>
      </c>
      <c r="E95" s="10">
        <f>(E48/'Emission Factors and Constants'!$A$7)*'Forecast Parameters'!F$122</f>
        <v>322949.6910408648</v>
      </c>
      <c r="F95" s="10">
        <f>(F48/'Emission Factors and Constants'!$A$7)*'Forecast Parameters'!G$122</f>
        <v>298361.4142776127</v>
      </c>
      <c r="G95" s="10">
        <f>(G48/'Emission Factors and Constants'!$A$7)*'Forecast Parameters'!H$122</f>
        <v>272766.47719870723</v>
      </c>
      <c r="H95" s="10">
        <f>(H48/'Emission Factors and Constants'!$A$7)*'Forecast Parameters'!I$122</f>
        <v>246162.61739258099</v>
      </c>
      <c r="I95" s="10">
        <f>(I48/'Emission Factors and Constants'!$A$7)*'Forecast Parameters'!J$122</f>
        <v>218545.83533179393</v>
      </c>
      <c r="J95" s="10">
        <f>(J48/'Emission Factors and Constants'!$A$7)*'Forecast Parameters'!K$122</f>
        <v>190218.27123820185</v>
      </c>
      <c r="K95" s="10">
        <f>(K48/'Emission Factors and Constants'!$A$7)*'Forecast Parameters'!L$122</f>
        <v>160764.27958866977</v>
      </c>
      <c r="L95" s="10">
        <f>(L48/'Emission Factors and Constants'!$A$7)*'Forecast Parameters'!M$122</f>
        <v>143105.9002503049</v>
      </c>
      <c r="M95" s="10">
        <f>(M48/'Emission Factors and Constants'!$A$7)*'Forecast Parameters'!N$122</f>
        <v>124754.82449311107</v>
      </c>
      <c r="N95" s="10">
        <f>(N48/'Emission Factors and Constants'!$A$7)*'Forecast Parameters'!O$122</f>
        <v>105707.80074882774</v>
      </c>
      <c r="O95" s="10">
        <f>(O48/'Emission Factors and Constants'!$A$7)*'Forecast Parameters'!P$122</f>
        <v>86080.496357285258</v>
      </c>
      <c r="P95" s="10">
        <f>(P48/'Emission Factors and Constants'!$A$7)*'Forecast Parameters'!Q$122</f>
        <v>65675.269326067602</v>
      </c>
      <c r="Q95" s="10">
        <f>(Q48/'Emission Factors and Constants'!$A$7)*'Forecast Parameters'!R$122</f>
        <v>44526.600891440736</v>
      </c>
      <c r="R95" s="10">
        <f>(R48/'Emission Factors and Constants'!$A$7)*'Forecast Parameters'!S$122</f>
        <v>22634.730570641717</v>
      </c>
      <c r="S95" s="10">
        <f>(S48/'Emission Factors and Constants'!$A$7)*'Forecast Parameters'!T$122</f>
        <v>0</v>
      </c>
      <c r="T95" s="10">
        <f>(T48/'Emission Factors and Constants'!$A$7)*'Forecast Parameters'!U$122</f>
        <v>0</v>
      </c>
      <c r="U95" s="10">
        <f>(U48/'Emission Factors and Constants'!$A$7)*'Forecast Parameters'!V$122</f>
        <v>0</v>
      </c>
      <c r="V95" s="10">
        <f>(V48/'Emission Factors and Constants'!$A$7)*'Forecast Parameters'!W$122</f>
        <v>0</v>
      </c>
      <c r="W95" s="10">
        <f>(W48/'Emission Factors and Constants'!$A$7)*'Forecast Parameters'!X$122</f>
        <v>0</v>
      </c>
      <c r="X95" s="10">
        <f>(X48/'Emission Factors and Constants'!$A$7)*'Forecast Parameters'!Y$122</f>
        <v>0</v>
      </c>
      <c r="Y95" s="10">
        <f>(Y48/'Emission Factors and Constants'!$A$7)*'Forecast Parameters'!Z$122</f>
        <v>0</v>
      </c>
      <c r="Z95" s="10">
        <f>(Z48/'Emission Factors and Constants'!$A$7)*'Forecast Parameters'!AA$122</f>
        <v>0</v>
      </c>
      <c r="AA95" s="10">
        <f>(AA48/'Emission Factors and Constants'!$A$7)*'Forecast Parameters'!AB$122</f>
        <v>0</v>
      </c>
      <c r="AB95" s="10">
        <f>(AB48/'Emission Factors and Constants'!$A$7)*'Forecast Parameters'!AC$122</f>
        <v>0</v>
      </c>
      <c r="AC95" s="10">
        <f>(AC48/'Emission Factors and Constants'!$A$7)*'Forecast Parameters'!AD$122</f>
        <v>0</v>
      </c>
      <c r="AD95" s="341"/>
    </row>
    <row r="96" spans="1:30" ht="25.35" customHeight="1" x14ac:dyDescent="0.7">
      <c r="A96" s="117" t="s">
        <v>475</v>
      </c>
      <c r="B96" s="190">
        <v>596946.41711227165</v>
      </c>
      <c r="C96" s="10">
        <f>(C49/'Emission Factors and Constants'!$A$7)*'Forecast Parameters'!D$122</f>
        <v>562777.03936556599</v>
      </c>
      <c r="D96" s="10">
        <f>(D49/'Emission Factors and Constants'!$A$7)*'Forecast Parameters'!E$122</f>
        <v>528206.05818210717</v>
      </c>
      <c r="E96" s="10">
        <f>(E49/'Emission Factors and Constants'!$A$7)*'Forecast Parameters'!F$122</f>
        <v>491211.56587873859</v>
      </c>
      <c r="F96" s="10">
        <f>(F49/'Emission Factors and Constants'!$A$7)*'Forecast Parameters'!G$122</f>
        <v>452860.70564278384</v>
      </c>
      <c r="G96" s="10">
        <f>(G49/'Emission Factors and Constants'!$A$7)*'Forecast Parameters'!H$122</f>
        <v>413153.76693117665</v>
      </c>
      <c r="H96" s="10">
        <f>(H49/'Emission Factors and Constants'!$A$7)*'Forecast Parameters'!I$122</f>
        <v>372091.03916108992</v>
      </c>
      <c r="I96" s="10">
        <f>(I49/'Emission Factors and Constants'!$A$7)*'Forecast Parameters'!J$122</f>
        <v>329672.85905928991</v>
      </c>
      <c r="J96" s="10">
        <f>(J49/'Emission Factors and Constants'!$A$7)*'Forecast Parameters'!K$122</f>
        <v>286223.18564498215</v>
      </c>
      <c r="K96" s="10">
        <f>(K49/'Emission Factors and Constants'!$A$7)*'Forecast Parameters'!L$122</f>
        <v>241310.49628925032</v>
      </c>
      <c r="L96" s="10">
        <f>(L49/'Emission Factors and Constants'!$A$7)*'Forecast Parameters'!M$122</f>
        <v>214287.89344930078</v>
      </c>
      <c r="M96" s="10">
        <f>(M49/'Emission Factors and Constants'!$A$7)*'Forecast Parameters'!N$122</f>
        <v>186368.53956781913</v>
      </c>
      <c r="N96" s="10">
        <f>(N49/'Emission Factors and Constants'!$A$7)*'Forecast Parameters'!O$122</f>
        <v>157552.03337596648</v>
      </c>
      <c r="O96" s="10">
        <f>(O49/'Emission Factors and Constants'!$A$7)*'Forecast Parameters'!P$122</f>
        <v>128093.5759637007</v>
      </c>
      <c r="P96" s="10">
        <f>(P49/'Emission Factors and Constants'!$A$7)*'Forecast Parameters'!Q$122</f>
        <v>97609.190850951272</v>
      </c>
      <c r="Q96" s="10">
        <f>(Q49/'Emission Factors and Constants'!$A$7)*'Forecast Parameters'!R$122</f>
        <v>66093.184427434651</v>
      </c>
      <c r="R96" s="10">
        <f>(R49/'Emission Factors and Constants'!$A$7)*'Forecast Parameters'!S$122</f>
        <v>33556.805463338722</v>
      </c>
      <c r="S96" s="10">
        <f>(S49/'Emission Factors and Constants'!$A$7)*'Forecast Parameters'!T$122</f>
        <v>0</v>
      </c>
      <c r="T96" s="10">
        <f>(T49/'Emission Factors and Constants'!$A$7)*'Forecast Parameters'!U$122</f>
        <v>0</v>
      </c>
      <c r="U96" s="10">
        <f>(U49/'Emission Factors and Constants'!$A$7)*'Forecast Parameters'!V$122</f>
        <v>0</v>
      </c>
      <c r="V96" s="10">
        <f>(V49/'Emission Factors and Constants'!$A$7)*'Forecast Parameters'!W$122</f>
        <v>0</v>
      </c>
      <c r="W96" s="10">
        <f>(W49/'Emission Factors and Constants'!$A$7)*'Forecast Parameters'!X$122</f>
        <v>0</v>
      </c>
      <c r="X96" s="10">
        <f>(X49/'Emission Factors and Constants'!$A$7)*'Forecast Parameters'!Y$122</f>
        <v>0</v>
      </c>
      <c r="Y96" s="10">
        <f>(Y49/'Emission Factors and Constants'!$A$7)*'Forecast Parameters'!Z$122</f>
        <v>0</v>
      </c>
      <c r="Z96" s="10">
        <f>(Z49/'Emission Factors and Constants'!$A$7)*'Forecast Parameters'!AA$122</f>
        <v>0</v>
      </c>
      <c r="AA96" s="10">
        <f>(AA49/'Emission Factors and Constants'!$A$7)*'Forecast Parameters'!AB$122</f>
        <v>0</v>
      </c>
      <c r="AB96" s="10">
        <f>(AB49/'Emission Factors and Constants'!$A$7)*'Forecast Parameters'!AC$122</f>
        <v>0</v>
      </c>
      <c r="AC96" s="10">
        <f>(AC49/'Emission Factors and Constants'!$A$7)*'Forecast Parameters'!AD$122</f>
        <v>0</v>
      </c>
      <c r="AD96" s="341"/>
    </row>
    <row r="97" spans="1:31" ht="25.35" customHeight="1" x14ac:dyDescent="0.7">
      <c r="A97" s="117" t="s">
        <v>189</v>
      </c>
      <c r="B97" s="50">
        <f>SUM(B95:B96)</f>
        <v>987528.6662180156</v>
      </c>
      <c r="C97" s="50">
        <f t="shared" ref="C97" si="3">SUM(C95:C96)</f>
        <v>931158.52901035431</v>
      </c>
      <c r="D97" s="50">
        <f t="shared" ref="D97" si="4">SUM(D95:D96)</f>
        <v>874739.38099030301</v>
      </c>
      <c r="E97" s="50">
        <f t="shared" ref="E97" si="5">SUM(E95:E96)</f>
        <v>814161.25691960333</v>
      </c>
      <c r="F97" s="50">
        <f t="shared" ref="F97" si="6">SUM(F95:F96)</f>
        <v>751222.11992039648</v>
      </c>
      <c r="G97" s="50">
        <f t="shared" ref="G97" si="7">SUM(G95:G96)</f>
        <v>685920.24412988382</v>
      </c>
      <c r="H97" s="50">
        <f t="shared" ref="H97" si="8">SUM(H95:H96)</f>
        <v>618253.65655367088</v>
      </c>
      <c r="I97" s="50">
        <f t="shared" ref="I97" si="9">SUM(I95:I96)</f>
        <v>548218.6943910839</v>
      </c>
      <c r="J97" s="50">
        <f t="shared" ref="J97" si="10">SUM(J95:J96)</f>
        <v>476441.45688318403</v>
      </c>
      <c r="K97" s="50">
        <f t="shared" ref="K97" si="11">SUM(K95:K96)</f>
        <v>402074.7758779201</v>
      </c>
      <c r="L97" s="50">
        <f t="shared" ref="L97" si="12">SUM(L95:L96)</f>
        <v>357393.79369960568</v>
      </c>
      <c r="M97" s="50">
        <f t="shared" ref="M97" si="13">SUM(M95:M96)</f>
        <v>311123.36406093021</v>
      </c>
      <c r="N97" s="50">
        <f t="shared" ref="N97" si="14">SUM(N95:N96)</f>
        <v>263259.83412479423</v>
      </c>
      <c r="O97" s="50">
        <f t="shared" ref="O97" si="15">SUM(O95:O96)</f>
        <v>214174.07232098596</v>
      </c>
      <c r="P97" s="50">
        <f t="shared" ref="P97" si="16">SUM(P95:P96)</f>
        <v>163284.46017701889</v>
      </c>
      <c r="Q97" s="50">
        <f t="shared" ref="Q97" si="17">SUM(Q95:Q96)</f>
        <v>110619.78531887539</v>
      </c>
      <c r="R97" s="50">
        <f t="shared" ref="R97" si="18">SUM(R95:R96)</f>
        <v>56191.536033980439</v>
      </c>
      <c r="S97" s="50">
        <f t="shared" ref="S97" si="19">SUM(S95:S96)</f>
        <v>0</v>
      </c>
      <c r="T97" s="50">
        <f t="shared" ref="T97" si="20">SUM(T95:T96)</f>
        <v>0</v>
      </c>
      <c r="U97" s="50">
        <f t="shared" ref="U97" si="21">SUM(U95:U96)</f>
        <v>0</v>
      </c>
      <c r="V97" s="50">
        <f t="shared" ref="V97" si="22">SUM(V95:V96)</f>
        <v>0</v>
      </c>
      <c r="W97" s="50">
        <f t="shared" ref="W97" si="23">SUM(W95:W96)</f>
        <v>0</v>
      </c>
      <c r="X97" s="50">
        <f t="shared" ref="X97" si="24">SUM(X95:X96)</f>
        <v>0</v>
      </c>
      <c r="Y97" s="50">
        <f t="shared" ref="Y97" si="25">SUM(Y95:Y96)</f>
        <v>0</v>
      </c>
      <c r="Z97" s="50">
        <f t="shared" ref="Z97" si="26">SUM(Z95:Z96)</f>
        <v>0</v>
      </c>
      <c r="AA97" s="50">
        <f t="shared" ref="AA97" si="27">SUM(AA95:AA96)</f>
        <v>0</v>
      </c>
      <c r="AB97" s="50">
        <f t="shared" ref="AB97" si="28">SUM(AB95:AB96)</f>
        <v>0</v>
      </c>
      <c r="AC97" s="50">
        <f t="shared" ref="AC97" si="29">SUM(AC95:AC96)</f>
        <v>0</v>
      </c>
      <c r="AD97" s="341"/>
    </row>
    <row r="98" spans="1:31" ht="25.35" customHeight="1" x14ac:dyDescent="0.7">
      <c r="A98" s="117" t="s">
        <v>190</v>
      </c>
      <c r="B98" s="190">
        <v>26465.768254642815</v>
      </c>
      <c r="C98" s="10">
        <f>(C51/'Emission Factors and Constants'!$A$7)*'Forecast Parameters'!D$122</f>
        <v>24955.048577477501</v>
      </c>
      <c r="D98" s="10">
        <f>(D51/'Emission Factors and Constants'!$A$7)*'Forecast Parameters'!E$122</f>
        <v>23443.01541054012</v>
      </c>
      <c r="E98" s="10">
        <f>(E51/'Emission Factors and Constants'!$A$7)*'Forecast Parameters'!F$122</f>
        <v>21819.521685445368</v>
      </c>
      <c r="F98" s="10">
        <f>(F51/'Emission Factors and Constants'!$A$7)*'Forecast Parameters'!G$122</f>
        <v>20132.752813866628</v>
      </c>
      <c r="G98" s="10">
        <f>(G51/'Emission Factors and Constants'!$A$7)*'Forecast Parameters'!H$122</f>
        <v>18382.66254268089</v>
      </c>
      <c r="H98" s="10">
        <f>(H51/'Emission Factors and Constants'!$A$7)*'Forecast Parameters'!I$122</f>
        <v>16569.19799563838</v>
      </c>
      <c r="I98" s="10">
        <f>(I51/'Emission Factors and Constants'!$A$7)*'Forecast Parameters'!J$122</f>
        <v>14692.261009681046</v>
      </c>
      <c r="J98" s="10">
        <f>(J51/'Emission Factors and Constants'!$A$7)*'Forecast Parameters'!K$122</f>
        <v>12768.631044469332</v>
      </c>
      <c r="K98" s="10">
        <f>(K51/'Emission Factors and Constants'!$A$7)*'Forecast Parameters'!L$122</f>
        <v>10775.603993528259</v>
      </c>
      <c r="L98" s="10">
        <f>(L51/'Emission Factors and Constants'!$A$7)*'Forecast Parameters'!M$122</f>
        <v>9578.1536711494318</v>
      </c>
      <c r="M98" s="10">
        <f>(M51/'Emission Factors and Constants'!$A$7)*'Forecast Parameters'!N$122</f>
        <v>8338.1061568329296</v>
      </c>
      <c r="N98" s="10">
        <f>(N51/'Emission Factors and Constants'!$A$7)*'Forecast Parameters'!O$122</f>
        <v>7055.3635545444859</v>
      </c>
      <c r="O98" s="10">
        <f>(O51/'Emission Factors and Constants'!$A$7)*'Forecast Parameters'!P$122</f>
        <v>5739.8651382024236</v>
      </c>
      <c r="P98" s="10">
        <f>(P51/'Emission Factors and Constants'!$A$7)*'Forecast Parameters'!Q$122</f>
        <v>4376.0235327441069</v>
      </c>
      <c r="Q98" s="10">
        <f>(Q51/'Emission Factors and Constants'!$A$7)*'Forecast Parameters'!R$122</f>
        <v>2964.6102465458607</v>
      </c>
      <c r="R98" s="10">
        <f>(R51/'Emission Factors and Constants'!$A$7)*'Forecast Parameters'!S$122</f>
        <v>1505.9331657106761</v>
      </c>
      <c r="S98" s="10">
        <f>(S51/'Emission Factors and Constants'!$A$7)*'Forecast Parameters'!T$122</f>
        <v>0</v>
      </c>
      <c r="T98" s="10">
        <f>(T51/'Emission Factors and Constants'!$A$7)*'Forecast Parameters'!U$122</f>
        <v>0</v>
      </c>
      <c r="U98" s="10">
        <f>(U51/'Emission Factors and Constants'!$A$7)*'Forecast Parameters'!V$122</f>
        <v>0</v>
      </c>
      <c r="V98" s="10">
        <f>(V51/'Emission Factors and Constants'!$A$7)*'Forecast Parameters'!W$122</f>
        <v>0</v>
      </c>
      <c r="W98" s="10">
        <f>(W51/'Emission Factors and Constants'!$A$7)*'Forecast Parameters'!X$122</f>
        <v>0</v>
      </c>
      <c r="X98" s="10">
        <f>(X51/'Emission Factors and Constants'!$A$7)*'Forecast Parameters'!Y$122</f>
        <v>0</v>
      </c>
      <c r="Y98" s="10">
        <f>(Y51/'Emission Factors and Constants'!$A$7)*'Forecast Parameters'!Z$122</f>
        <v>0</v>
      </c>
      <c r="Z98" s="10">
        <f>(Z51/'Emission Factors and Constants'!$A$7)*'Forecast Parameters'!AA$122</f>
        <v>0</v>
      </c>
      <c r="AA98" s="10">
        <f>(AA51/'Emission Factors and Constants'!$A$7)*'Forecast Parameters'!AB$122</f>
        <v>0</v>
      </c>
      <c r="AB98" s="10">
        <f>(AB51/'Emission Factors and Constants'!$A$7)*'Forecast Parameters'!AC$122</f>
        <v>0</v>
      </c>
      <c r="AC98" s="10">
        <f>(AC51/'Emission Factors and Constants'!$A$7)*'Forecast Parameters'!AD$122</f>
        <v>0</v>
      </c>
      <c r="AD98" s="341"/>
    </row>
    <row r="99" spans="1:31" ht="25.35" customHeight="1" x14ac:dyDescent="0.85">
      <c r="A99" s="248" t="s">
        <v>452</v>
      </c>
      <c r="B99" s="249"/>
      <c r="C99" s="249"/>
      <c r="D99" s="249"/>
      <c r="E99" s="249"/>
      <c r="F99" s="249"/>
      <c r="G99" s="249"/>
      <c r="H99" s="249"/>
      <c r="I99" s="249"/>
      <c r="J99" s="249"/>
      <c r="K99" s="249"/>
      <c r="L99" s="249"/>
      <c r="M99" s="249"/>
      <c r="N99" s="249"/>
      <c r="O99" s="249"/>
      <c r="P99" s="249"/>
      <c r="Q99" s="249"/>
      <c r="R99" s="249"/>
      <c r="S99" s="249"/>
      <c r="T99" s="249"/>
      <c r="U99" s="249"/>
      <c r="V99" s="249"/>
      <c r="W99" s="249"/>
      <c r="X99" s="249"/>
      <c r="Y99" s="249"/>
      <c r="Z99" s="249"/>
      <c r="AA99" s="249"/>
      <c r="AB99" s="249"/>
      <c r="AC99" s="250"/>
      <c r="AD99" s="341"/>
    </row>
    <row r="100" spans="1:31" ht="25.35" customHeight="1" x14ac:dyDescent="0.7">
      <c r="A100" s="117" t="s">
        <v>188</v>
      </c>
      <c r="B100" s="190">
        <v>0</v>
      </c>
      <c r="C100" s="10">
        <f>(C53/'Emission Factors and Constants'!$A$7)*'Forecast Parameters'!H$117</f>
        <v>0</v>
      </c>
      <c r="D100" s="10">
        <f>(D53/'Emission Factors and Constants'!$A$7)*'Forecast Parameters'!I$117</f>
        <v>0</v>
      </c>
      <c r="E100" s="10">
        <f>(E53/'Emission Factors and Constants'!$A$7)*'Forecast Parameters'!J$117</f>
        <v>0</v>
      </c>
      <c r="F100" s="10">
        <f>(F53/'Emission Factors and Constants'!$A$7)*'Forecast Parameters'!K$117</f>
        <v>0</v>
      </c>
      <c r="G100" s="10">
        <f>(G53/'Emission Factors and Constants'!$A$7)*'Forecast Parameters'!L$117</f>
        <v>0</v>
      </c>
      <c r="H100" s="10">
        <f>(H53/'Emission Factors and Constants'!$A$7)*'Forecast Parameters'!M$117</f>
        <v>0</v>
      </c>
      <c r="I100" s="10">
        <f>(I53/'Emission Factors and Constants'!$A$7)*'Forecast Parameters'!N$117</f>
        <v>0</v>
      </c>
      <c r="J100" s="10">
        <f>(J53/'Emission Factors and Constants'!$A$7)*'Forecast Parameters'!O$117</f>
        <v>0</v>
      </c>
      <c r="K100" s="10">
        <f>(K53/'Emission Factors and Constants'!$A$7)*'Forecast Parameters'!P$117</f>
        <v>0</v>
      </c>
      <c r="L100" s="10">
        <f>(L53/'Emission Factors and Constants'!$A$7)*'Forecast Parameters'!Q$117</f>
        <v>0</v>
      </c>
      <c r="M100" s="10">
        <f>(M53/'Emission Factors and Constants'!$A$7)*'Forecast Parameters'!R$117</f>
        <v>0</v>
      </c>
      <c r="N100" s="10">
        <f>(N53/'Emission Factors and Constants'!$A$7)*'Forecast Parameters'!S$117</f>
        <v>0</v>
      </c>
      <c r="O100" s="10">
        <f>(O53/'Emission Factors and Constants'!$A$7)*'Forecast Parameters'!T$117</f>
        <v>0</v>
      </c>
      <c r="P100" s="10">
        <f>(P53/'Emission Factors and Constants'!$A$7)*'Forecast Parameters'!U$117</f>
        <v>0</v>
      </c>
      <c r="Q100" s="10">
        <f>(Q53/'Emission Factors and Constants'!$A$7)*'Forecast Parameters'!V$117</f>
        <v>0</v>
      </c>
      <c r="R100" s="10">
        <f>(R53/'Emission Factors and Constants'!$A$7)*'Forecast Parameters'!W$117</f>
        <v>0</v>
      </c>
      <c r="S100" s="10">
        <f>(S53/'Emission Factors and Constants'!$A$7)*'Forecast Parameters'!X$117</f>
        <v>0</v>
      </c>
      <c r="T100" s="10">
        <f>(T53/'Emission Factors and Constants'!$A$7)*'Forecast Parameters'!Y$117</f>
        <v>0</v>
      </c>
      <c r="U100" s="10">
        <f>(U53/'Emission Factors and Constants'!$A$7)*'Forecast Parameters'!Z$117</f>
        <v>0</v>
      </c>
      <c r="V100" s="10">
        <f>(V53/'Emission Factors and Constants'!$A$7)*'Forecast Parameters'!AA$117</f>
        <v>0</v>
      </c>
      <c r="W100" s="10">
        <f>(W53/'Emission Factors and Constants'!$A$7)*'Forecast Parameters'!AB$117</f>
        <v>0</v>
      </c>
      <c r="X100" s="10">
        <f>(X53/'Emission Factors and Constants'!$A$7)*'Forecast Parameters'!AC$117</f>
        <v>0</v>
      </c>
      <c r="Y100" s="10">
        <f>(Y53/'Emission Factors and Constants'!$A$7)*'Forecast Parameters'!AD$117</f>
        <v>0</v>
      </c>
      <c r="Z100" s="10">
        <f>(Z53/'Emission Factors and Constants'!$A$7)*'Forecast Parameters'!AE$117</f>
        <v>0</v>
      </c>
      <c r="AA100" s="10">
        <f>(AA53/'Emission Factors and Constants'!$A$7)*'Forecast Parameters'!AF$117</f>
        <v>0</v>
      </c>
      <c r="AB100" s="10">
        <f>(AB53/'Emission Factors and Constants'!$A$7)*'Forecast Parameters'!AG$117</f>
        <v>0</v>
      </c>
      <c r="AC100" s="10">
        <f>(AC53/'Emission Factors and Constants'!$A$7)*'Forecast Parameters'!AH$117</f>
        <v>0</v>
      </c>
      <c r="AD100" s="341"/>
    </row>
    <row r="101" spans="1:31" ht="25.35" customHeight="1" x14ac:dyDescent="0.7">
      <c r="A101" s="117" t="s">
        <v>475</v>
      </c>
      <c r="B101" s="190">
        <v>0</v>
      </c>
      <c r="C101" s="10">
        <f>(C54/'Emission Factors and Constants'!$A$7)*'Forecast Parameters'!H$117</f>
        <v>0</v>
      </c>
      <c r="D101" s="10">
        <f>(D54/'Emission Factors and Constants'!$A$7)*'Forecast Parameters'!I$117</f>
        <v>0</v>
      </c>
      <c r="E101" s="10">
        <f>(E54/'Emission Factors and Constants'!$A$7)*'Forecast Parameters'!J$117</f>
        <v>0</v>
      </c>
      <c r="F101" s="10">
        <f>(F54/'Emission Factors and Constants'!$A$7)*'Forecast Parameters'!K$117</f>
        <v>0</v>
      </c>
      <c r="G101" s="10">
        <f>(G54/'Emission Factors and Constants'!$A$7)*'Forecast Parameters'!L$117</f>
        <v>0</v>
      </c>
      <c r="H101" s="10">
        <f>(H54/'Emission Factors and Constants'!$A$7)*'Forecast Parameters'!M$117</f>
        <v>0</v>
      </c>
      <c r="I101" s="10">
        <f>(I54/'Emission Factors and Constants'!$A$7)*'Forecast Parameters'!N$117</f>
        <v>0</v>
      </c>
      <c r="J101" s="10">
        <f>(J54/'Emission Factors and Constants'!$A$7)*'Forecast Parameters'!O$117</f>
        <v>0</v>
      </c>
      <c r="K101" s="10">
        <f>(K54/'Emission Factors and Constants'!$A$7)*'Forecast Parameters'!P$117</f>
        <v>0</v>
      </c>
      <c r="L101" s="10">
        <f>(L54/'Emission Factors and Constants'!$A$7)*'Forecast Parameters'!Q$117</f>
        <v>0</v>
      </c>
      <c r="M101" s="10">
        <f>(M54/'Emission Factors and Constants'!$A$7)*'Forecast Parameters'!R$117</f>
        <v>0</v>
      </c>
      <c r="N101" s="10">
        <f>(N54/'Emission Factors and Constants'!$A$7)*'Forecast Parameters'!S$117</f>
        <v>0</v>
      </c>
      <c r="O101" s="10">
        <f>(O54/'Emission Factors and Constants'!$A$7)*'Forecast Parameters'!T$117</f>
        <v>0</v>
      </c>
      <c r="P101" s="10">
        <f>(P54/'Emission Factors and Constants'!$A$7)*'Forecast Parameters'!U$117</f>
        <v>0</v>
      </c>
      <c r="Q101" s="10">
        <f>(Q54/'Emission Factors and Constants'!$A$7)*'Forecast Parameters'!V$117</f>
        <v>0</v>
      </c>
      <c r="R101" s="10">
        <f>(R54/'Emission Factors and Constants'!$A$7)*'Forecast Parameters'!W$117</f>
        <v>0</v>
      </c>
      <c r="S101" s="10">
        <f>(S54/'Emission Factors and Constants'!$A$7)*'Forecast Parameters'!X$117</f>
        <v>0</v>
      </c>
      <c r="T101" s="10">
        <f>(T54/'Emission Factors and Constants'!$A$7)*'Forecast Parameters'!Y$117</f>
        <v>0</v>
      </c>
      <c r="U101" s="10">
        <f>(U54/'Emission Factors and Constants'!$A$7)*'Forecast Parameters'!Z$117</f>
        <v>0</v>
      </c>
      <c r="V101" s="10">
        <f>(V54/'Emission Factors and Constants'!$A$7)*'Forecast Parameters'!AA$117</f>
        <v>0</v>
      </c>
      <c r="W101" s="10">
        <f>(W54/'Emission Factors and Constants'!$A$7)*'Forecast Parameters'!AB$117</f>
        <v>0</v>
      </c>
      <c r="X101" s="10">
        <f>(X54/'Emission Factors and Constants'!$A$7)*'Forecast Parameters'!AC$117</f>
        <v>0</v>
      </c>
      <c r="Y101" s="10">
        <f>(Y54/'Emission Factors and Constants'!$A$7)*'Forecast Parameters'!AD$117</f>
        <v>0</v>
      </c>
      <c r="Z101" s="10">
        <f>(Z54/'Emission Factors and Constants'!$A$7)*'Forecast Parameters'!AE$117</f>
        <v>0</v>
      </c>
      <c r="AA101" s="10">
        <f>(AA54/'Emission Factors and Constants'!$A$7)*'Forecast Parameters'!AF$117</f>
        <v>0</v>
      </c>
      <c r="AB101" s="10">
        <f>(AB54/'Emission Factors and Constants'!$A$7)*'Forecast Parameters'!AG$117</f>
        <v>0</v>
      </c>
      <c r="AC101" s="10">
        <f>(AC54/'Emission Factors and Constants'!$A$7)*'Forecast Parameters'!AH$117</f>
        <v>0</v>
      </c>
      <c r="AD101" s="341"/>
    </row>
    <row r="102" spans="1:31" ht="25.35" customHeight="1" x14ac:dyDescent="0.7">
      <c r="A102" s="117" t="s">
        <v>189</v>
      </c>
      <c r="B102" s="50">
        <f>SUM(B100:B101)</f>
        <v>0</v>
      </c>
      <c r="C102" s="50">
        <f t="shared" ref="C102" si="30">SUM(C100:C101)</f>
        <v>0</v>
      </c>
      <c r="D102" s="50">
        <f t="shared" ref="D102" si="31">SUM(D100:D101)</f>
        <v>0</v>
      </c>
      <c r="E102" s="50">
        <f t="shared" ref="E102" si="32">SUM(E100:E101)</f>
        <v>0</v>
      </c>
      <c r="F102" s="50">
        <f t="shared" ref="F102" si="33">SUM(F100:F101)</f>
        <v>0</v>
      </c>
      <c r="G102" s="50">
        <f t="shared" ref="G102" si="34">SUM(G100:G101)</f>
        <v>0</v>
      </c>
      <c r="H102" s="50">
        <f t="shared" ref="H102" si="35">SUM(H100:H101)</f>
        <v>0</v>
      </c>
      <c r="I102" s="50">
        <f t="shared" ref="I102" si="36">SUM(I100:I101)</f>
        <v>0</v>
      </c>
      <c r="J102" s="50">
        <f t="shared" ref="J102" si="37">SUM(J100:J101)</f>
        <v>0</v>
      </c>
      <c r="K102" s="50">
        <f t="shared" ref="K102" si="38">SUM(K100:K101)</f>
        <v>0</v>
      </c>
      <c r="L102" s="50">
        <f t="shared" ref="L102" si="39">SUM(L100:L101)</f>
        <v>0</v>
      </c>
      <c r="M102" s="50">
        <f t="shared" ref="M102" si="40">SUM(M100:M101)</f>
        <v>0</v>
      </c>
      <c r="N102" s="50">
        <f t="shared" ref="N102" si="41">SUM(N100:N101)</f>
        <v>0</v>
      </c>
      <c r="O102" s="50">
        <f t="shared" ref="O102" si="42">SUM(O100:O101)</f>
        <v>0</v>
      </c>
      <c r="P102" s="50">
        <f t="shared" ref="P102" si="43">SUM(P100:P101)</f>
        <v>0</v>
      </c>
      <c r="Q102" s="50">
        <f t="shared" ref="Q102" si="44">SUM(Q100:Q101)</f>
        <v>0</v>
      </c>
      <c r="R102" s="50">
        <f t="shared" ref="R102" si="45">SUM(R100:R101)</f>
        <v>0</v>
      </c>
      <c r="S102" s="50">
        <f t="shared" ref="S102" si="46">SUM(S100:S101)</f>
        <v>0</v>
      </c>
      <c r="T102" s="50">
        <f t="shared" ref="T102" si="47">SUM(T100:T101)</f>
        <v>0</v>
      </c>
      <c r="U102" s="50">
        <f t="shared" ref="U102" si="48">SUM(U100:U101)</f>
        <v>0</v>
      </c>
      <c r="V102" s="50">
        <f t="shared" ref="V102" si="49">SUM(V100:V101)</f>
        <v>0</v>
      </c>
      <c r="W102" s="50">
        <f t="shared" ref="W102" si="50">SUM(W100:W101)</f>
        <v>0</v>
      </c>
      <c r="X102" s="50">
        <f t="shared" ref="X102" si="51">SUM(X100:X101)</f>
        <v>0</v>
      </c>
      <c r="Y102" s="50">
        <f t="shared" ref="Y102" si="52">SUM(Y100:Y101)</f>
        <v>0</v>
      </c>
      <c r="Z102" s="50">
        <f t="shared" ref="Z102" si="53">SUM(Z100:Z101)</f>
        <v>0</v>
      </c>
      <c r="AA102" s="50">
        <f t="shared" ref="AA102" si="54">SUM(AA100:AA101)</f>
        <v>0</v>
      </c>
      <c r="AB102" s="50">
        <f t="shared" ref="AB102" si="55">SUM(AB100:AB101)</f>
        <v>0</v>
      </c>
      <c r="AC102" s="50">
        <f t="shared" ref="AC102" si="56">SUM(AC100:AC101)</f>
        <v>0</v>
      </c>
      <c r="AD102" s="341"/>
    </row>
    <row r="103" spans="1:31" ht="25.35" customHeight="1" x14ac:dyDescent="0.7">
      <c r="A103" s="117" t="s">
        <v>190</v>
      </c>
      <c r="B103" s="190">
        <v>0</v>
      </c>
      <c r="C103" s="10">
        <f>(C56/'Emission Factors and Constants'!$A$7)*'Forecast Parameters'!H$117</f>
        <v>0</v>
      </c>
      <c r="D103" s="10">
        <f>(D56/'Emission Factors and Constants'!$A$7)*'Forecast Parameters'!I$117</f>
        <v>0</v>
      </c>
      <c r="E103" s="10">
        <f>(E56/'Emission Factors and Constants'!$A$7)*'Forecast Parameters'!J$117</f>
        <v>0</v>
      </c>
      <c r="F103" s="10">
        <f>(F56/'Emission Factors and Constants'!$A$7)*'Forecast Parameters'!K$117</f>
        <v>0</v>
      </c>
      <c r="G103" s="10">
        <f>(G56/'Emission Factors and Constants'!$A$7)*'Forecast Parameters'!L$117</f>
        <v>0</v>
      </c>
      <c r="H103" s="10">
        <f>(H56/'Emission Factors and Constants'!$A$7)*'Forecast Parameters'!M$117</f>
        <v>0</v>
      </c>
      <c r="I103" s="10">
        <f>(I56/'Emission Factors and Constants'!$A$7)*'Forecast Parameters'!N$117</f>
        <v>0</v>
      </c>
      <c r="J103" s="10">
        <f>(J56/'Emission Factors and Constants'!$A$7)*'Forecast Parameters'!O$117</f>
        <v>0</v>
      </c>
      <c r="K103" s="10">
        <f>(K56/'Emission Factors and Constants'!$A$7)*'Forecast Parameters'!P$117</f>
        <v>0</v>
      </c>
      <c r="L103" s="10">
        <f>(L56/'Emission Factors and Constants'!$A$7)*'Forecast Parameters'!Q$117</f>
        <v>0</v>
      </c>
      <c r="M103" s="10">
        <f>(M56/'Emission Factors and Constants'!$A$7)*'Forecast Parameters'!R$117</f>
        <v>0</v>
      </c>
      <c r="N103" s="10">
        <f>(N56/'Emission Factors and Constants'!$A$7)*'Forecast Parameters'!S$117</f>
        <v>0</v>
      </c>
      <c r="O103" s="10">
        <f>(O56/'Emission Factors and Constants'!$A$7)*'Forecast Parameters'!T$117</f>
        <v>0</v>
      </c>
      <c r="P103" s="10">
        <f>(P56/'Emission Factors and Constants'!$A$7)*'Forecast Parameters'!U$117</f>
        <v>0</v>
      </c>
      <c r="Q103" s="10">
        <f>(Q56/'Emission Factors and Constants'!$A$7)*'Forecast Parameters'!V$117</f>
        <v>0</v>
      </c>
      <c r="R103" s="10">
        <f>(R56/'Emission Factors and Constants'!$A$7)*'Forecast Parameters'!W$117</f>
        <v>0</v>
      </c>
      <c r="S103" s="10">
        <f>(S56/'Emission Factors and Constants'!$A$7)*'Forecast Parameters'!X$117</f>
        <v>0</v>
      </c>
      <c r="T103" s="10">
        <f>(T56/'Emission Factors and Constants'!$A$7)*'Forecast Parameters'!Y$117</f>
        <v>0</v>
      </c>
      <c r="U103" s="10">
        <f>(U56/'Emission Factors and Constants'!$A$7)*'Forecast Parameters'!Z$117</f>
        <v>0</v>
      </c>
      <c r="V103" s="10">
        <f>(V56/'Emission Factors and Constants'!$A$7)*'Forecast Parameters'!AA$117</f>
        <v>0</v>
      </c>
      <c r="W103" s="10">
        <f>(W56/'Emission Factors and Constants'!$A$7)*'Forecast Parameters'!AB$117</f>
        <v>0</v>
      </c>
      <c r="X103" s="10">
        <f>(X56/'Emission Factors and Constants'!$A$7)*'Forecast Parameters'!AC$117</f>
        <v>0</v>
      </c>
      <c r="Y103" s="10">
        <f>(Y56/'Emission Factors and Constants'!$A$7)*'Forecast Parameters'!AD$117</f>
        <v>0</v>
      </c>
      <c r="Z103" s="10">
        <f>(Z56/'Emission Factors and Constants'!$A$7)*'Forecast Parameters'!AE$117</f>
        <v>0</v>
      </c>
      <c r="AA103" s="10">
        <f>(AA56/'Emission Factors and Constants'!$A$7)*'Forecast Parameters'!AF$117</f>
        <v>0</v>
      </c>
      <c r="AB103" s="10">
        <f>(AB56/'Emission Factors and Constants'!$A$7)*'Forecast Parameters'!AG$117</f>
        <v>0</v>
      </c>
      <c r="AC103" s="10">
        <f>(AC56/'Emission Factors and Constants'!$A$7)*'Forecast Parameters'!AH$117</f>
        <v>0</v>
      </c>
      <c r="AD103" s="341"/>
    </row>
    <row r="104" spans="1:31" ht="24" x14ac:dyDescent="0.85">
      <c r="A104" s="248" t="s">
        <v>38</v>
      </c>
      <c r="B104" s="249"/>
      <c r="C104" s="249"/>
      <c r="D104" s="249"/>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c r="AA104" s="249"/>
      <c r="AB104" s="249"/>
      <c r="AC104" s="250"/>
      <c r="AD104" s="341"/>
    </row>
    <row r="105" spans="1:31" ht="25.35" customHeight="1" x14ac:dyDescent="0.7">
      <c r="A105" s="117" t="s">
        <v>241</v>
      </c>
      <c r="B105" s="190">
        <v>766028.3102384347</v>
      </c>
      <c r="C105" s="10">
        <f>(C58*'Emission Factors and Constants'!$C$38)+(C58*'Emission Factors and Constants'!$C$39*'Emission Factors and Constants'!$C$26)+(C58*'Emission Factors and Constants'!$C$40*'Emission Factors and Constants'!$C$27)</f>
        <v>765283.96723574854</v>
      </c>
      <c r="D105" s="10">
        <f>(D58*'Emission Factors and Constants'!$C$38)+(D58*'Emission Factors and Constants'!$C$39*'Emission Factors and Constants'!$C$26)+(D58*'Emission Factors and Constants'!$C$40*'Emission Factors and Constants'!$C$27)</f>
        <v>764478.28533755511</v>
      </c>
      <c r="E105" s="10">
        <f>(E58*'Emission Factors and Constants'!$C$38)+(E58*'Emission Factors and Constants'!$C$39*'Emission Factors and Constants'!$C$26)+(E58*'Emission Factors and Constants'!$C$40*'Emission Factors and Constants'!$C$27)</f>
        <v>762429.72895507864</v>
      </c>
      <c r="F105" s="10">
        <f>(F58*'Emission Factors and Constants'!$C$38)+(F58*'Emission Factors and Constants'!$C$39*'Emission Factors and Constants'!$C$26)+(F58*'Emission Factors and Constants'!$C$40*'Emission Factors and Constants'!$C$27)</f>
        <v>760306.4781846765</v>
      </c>
      <c r="G105" s="10">
        <f>(G58*'Emission Factors and Constants'!$C$38)+(G58*'Emission Factors and Constants'!$C$39*'Emission Factors and Constants'!$C$26)+(G58*'Emission Factors and Constants'!$C$40*'Emission Factors and Constants'!$C$27)</f>
        <v>758105.04886075156</v>
      </c>
      <c r="H105" s="10">
        <f>(H58*'Emission Factors and Constants'!$C$38)+(H58*'Emission Factors and Constants'!$C$39*'Emission Factors and Constants'!$C$26)+(H58*'Emission Factors and Constants'!$C$40*'Emission Factors and Constants'!$C$27)</f>
        <v>755820.68655167508</v>
      </c>
      <c r="I105" s="10">
        <f>(I58*'Emission Factors and Constants'!$C$38)+(I58*'Emission Factors and Constants'!$C$39*'Emission Factors and Constants'!$C$26)+(I58*'Emission Factors and Constants'!$C$40*'Emission Factors and Constants'!$C$27)</f>
        <v>753453.99835894071</v>
      </c>
      <c r="J105" s="10">
        <f>(J58*'Emission Factors and Constants'!$C$38)+(J58*'Emission Factors and Constants'!$C$39*'Emission Factors and Constants'!$C$26)+(J58*'Emission Factors and Constants'!$C$40*'Emission Factors and Constants'!$C$27)</f>
        <v>754090.50508076348</v>
      </c>
      <c r="K105" s="10">
        <f>(K58*'Emission Factors and Constants'!$C$38)+(K58*'Emission Factors and Constants'!$C$39*'Emission Factors and Constants'!$C$26)+(K58*'Emission Factors and Constants'!$C$40*'Emission Factors and Constants'!$C$27)</f>
        <v>754670.99420624052</v>
      </c>
      <c r="L105" s="10">
        <f>(L58*'Emission Factors and Constants'!$C$38)+(L58*'Emission Factors and Constants'!$C$39*'Emission Factors and Constants'!$C$26)+(L58*'Emission Factors and Constants'!$C$40*'Emission Factors and Constants'!$C$27)</f>
        <v>755189.98318295146</v>
      </c>
      <c r="M105" s="10">
        <f>(M58*'Emission Factors and Constants'!$C$38)+(M58*'Emission Factors and Constants'!$C$39*'Emission Factors and Constants'!$C$26)+(M58*'Emission Factors and Constants'!$C$40*'Emission Factors and Constants'!$C$27)</f>
        <v>755655.71112822229</v>
      </c>
      <c r="N105" s="10">
        <f>(N58*'Emission Factors and Constants'!$C$38)+(N58*'Emission Factors and Constants'!$C$39*'Emission Factors and Constants'!$C$26)+(N58*'Emission Factors and Constants'!$C$40*'Emission Factors and Constants'!$C$27)</f>
        <v>756084.33088651346</v>
      </c>
      <c r="O105" s="10">
        <f>(O58*'Emission Factors and Constants'!$C$38)+(O58*'Emission Factors and Constants'!$C$39*'Emission Factors and Constants'!$C$26)+(O58*'Emission Factors and Constants'!$C$40*'Emission Factors and Constants'!$C$27)</f>
        <v>754325.11343825969</v>
      </c>
      <c r="P105" s="10">
        <f>(P58*'Emission Factors and Constants'!$C$38)+(P58*'Emission Factors and Constants'!$C$39*'Emission Factors and Constants'!$C$26)+(P58*'Emission Factors and Constants'!$C$40*'Emission Factors and Constants'!$C$27)</f>
        <v>752990.29978744721</v>
      </c>
      <c r="Q105" s="10">
        <f>(Q58*'Emission Factors and Constants'!$C$38)+(Q58*'Emission Factors and Constants'!$C$39*'Emission Factors and Constants'!$C$26)+(Q58*'Emission Factors and Constants'!$C$40*'Emission Factors and Constants'!$C$27)</f>
        <v>751643.74883652967</v>
      </c>
      <c r="R105" s="10">
        <f>(R58*'Emission Factors and Constants'!$C$38)+(R58*'Emission Factors and Constants'!$C$39*'Emission Factors and Constants'!$C$26)+(R58*'Emission Factors and Constants'!$C$40*'Emission Factors and Constants'!$C$27)</f>
        <v>750286.02721011126</v>
      </c>
      <c r="S105" s="10">
        <f>(S58*'Emission Factors and Constants'!$C$38)+(S58*'Emission Factors and Constants'!$C$39*'Emission Factors and Constants'!$C$26)+(S58*'Emission Factors and Constants'!$C$40*'Emission Factors and Constants'!$C$27)</f>
        <v>748910.17286542046</v>
      </c>
      <c r="T105" s="10">
        <f>(T58*'Emission Factors and Constants'!$C$38)+(T58*'Emission Factors and Constants'!$C$39*'Emission Factors and Constants'!$C$26)+(T58*'Emission Factors and Constants'!$C$40*'Emission Factors and Constants'!$C$27)</f>
        <v>743150.8927930214</v>
      </c>
      <c r="U105" s="10">
        <f>(U58*'Emission Factors and Constants'!$C$38)+(U58*'Emission Factors and Constants'!$C$39*'Emission Factors and Constants'!$C$26)+(U58*'Emission Factors and Constants'!$C$40*'Emission Factors and Constants'!$C$27)</f>
        <v>737403.55332675064</v>
      </c>
      <c r="V105" s="10">
        <f>(V58*'Emission Factors and Constants'!$C$38)+(V58*'Emission Factors and Constants'!$C$39*'Emission Factors and Constants'!$C$26)+(V58*'Emission Factors and Constants'!$C$40*'Emission Factors and Constants'!$C$27)</f>
        <v>731662.79509930685</v>
      </c>
      <c r="W105" s="10">
        <f>(W58*'Emission Factors and Constants'!$C$38)+(W58*'Emission Factors and Constants'!$C$39*'Emission Factors and Constants'!$C$26)+(W58*'Emission Factors and Constants'!$C$40*'Emission Factors and Constants'!$C$27)</f>
        <v>725923.80390085315</v>
      </c>
      <c r="X105" s="10">
        <f>(X58*'Emission Factors and Constants'!$C$38)+(X58*'Emission Factors and Constants'!$C$39*'Emission Factors and Constants'!$C$26)+(X58*'Emission Factors and Constants'!$C$40*'Emission Factors and Constants'!$C$27)</f>
        <v>720187.61915718345</v>
      </c>
      <c r="Y105" s="10">
        <f>(Y58*'Emission Factors and Constants'!$C$38)+(Y58*'Emission Factors and Constants'!$C$39*'Emission Factors and Constants'!$C$26)+(Y58*'Emission Factors and Constants'!$C$40*'Emission Factors and Constants'!$C$27)</f>
        <v>718406.92132255051</v>
      </c>
      <c r="Z105" s="10">
        <f>(Z58*'Emission Factors and Constants'!$C$38)+(Z58*'Emission Factors and Constants'!$C$39*'Emission Factors and Constants'!$C$26)+(Z58*'Emission Factors and Constants'!$C$40*'Emission Factors and Constants'!$C$27)</f>
        <v>716609.82638908818</v>
      </c>
      <c r="AA105" s="10">
        <f>(AA58*'Emission Factors and Constants'!$C$38)+(AA58*'Emission Factors and Constants'!$C$39*'Emission Factors and Constants'!$C$26)+(AA58*'Emission Factors and Constants'!$C$40*'Emission Factors and Constants'!$C$27)</f>
        <v>714796.38230713853</v>
      </c>
      <c r="AB105" s="10">
        <f>(AB58*'Emission Factors and Constants'!$C$38)+(AB58*'Emission Factors and Constants'!$C$39*'Emission Factors and Constants'!$C$26)+(AB58*'Emission Factors and Constants'!$C$40*'Emission Factors and Constants'!$C$27)</f>
        <v>712960.24781373888</v>
      </c>
      <c r="AC105" s="10">
        <f>(AC58*'Emission Factors and Constants'!$C$38)+(AC58*'Emission Factors and Constants'!$C$39*'Emission Factors and Constants'!$C$26)+(AC58*'Emission Factors and Constants'!$C$40*'Emission Factors and Constants'!$C$27)</f>
        <v>711018.22249110241</v>
      </c>
      <c r="AD105" s="341"/>
      <c r="AE105" s="346"/>
    </row>
    <row r="106" spans="1:31" ht="25.35" customHeight="1" x14ac:dyDescent="0.7">
      <c r="A106" s="118" t="s">
        <v>242</v>
      </c>
      <c r="B106" s="190">
        <v>1261008.1062251902</v>
      </c>
      <c r="C106" s="10">
        <f>(C59*'Emission Factors and Constants'!$C$38)+(C59*'Emission Factors and Constants'!$C$39*'Emission Factors and Constants'!$C$26)+(C59*'Emission Factors and Constants'!$C$40*'Emission Factors and Constants'!$C$27)</f>
        <v>1260859.6499099415</v>
      </c>
      <c r="D106" s="10">
        <f>(D59*'Emission Factors and Constants'!$C$38)+(D59*'Emission Factors and Constants'!$C$39*'Emission Factors and Constants'!$C$26)+(D59*'Emission Factors and Constants'!$C$40*'Emission Factors and Constants'!$C$27)</f>
        <v>1260701.8255856948</v>
      </c>
      <c r="E106" s="10">
        <f>(E59*'Emission Factors and Constants'!$C$38)+(E59*'Emission Factors and Constants'!$C$39*'Emission Factors and Constants'!$C$26)+(E59*'Emission Factors and Constants'!$C$40*'Emission Factors and Constants'!$C$27)</f>
        <v>1258612.8013428228</v>
      </c>
      <c r="F106" s="10">
        <f>(F59*'Emission Factors and Constants'!$C$38)+(F59*'Emission Factors and Constants'!$C$39*'Emission Factors and Constants'!$C$26)+(F59*'Emission Factors and Constants'!$C$40*'Emission Factors and Constants'!$C$27)</f>
        <v>1256516.3641096125</v>
      </c>
      <c r="G106" s="10">
        <f>(G59*'Emission Factors and Constants'!$C$38)+(G59*'Emission Factors and Constants'!$C$39*'Emission Factors and Constants'!$C$26)+(G59*'Emission Factors and Constants'!$C$40*'Emission Factors and Constants'!$C$27)</f>
        <v>1254412.2109639964</v>
      </c>
      <c r="H106" s="10">
        <f>(H59*'Emission Factors and Constants'!$C$38)+(H59*'Emission Factors and Constants'!$C$39*'Emission Factors and Constants'!$C$26)+(H59*'Emission Factors and Constants'!$C$40*'Emission Factors and Constants'!$C$27)</f>
        <v>1252299.9517445685</v>
      </c>
      <c r="I106" s="10">
        <f>(I59*'Emission Factors and Constants'!$C$38)+(I59*'Emission Factors and Constants'!$C$39*'Emission Factors and Constants'!$C$26)+(I59*'Emission Factors and Constants'!$C$40*'Emission Factors and Constants'!$C$27)</f>
        <v>1250178.8331822783</v>
      </c>
      <c r="J106" s="10">
        <f>(J59*'Emission Factors and Constants'!$C$38)+(J59*'Emission Factors and Constants'!$C$39*'Emission Factors and Constants'!$C$26)+(J59*'Emission Factors and Constants'!$C$40*'Emission Factors and Constants'!$C$27)</f>
        <v>1253058.431125894</v>
      </c>
      <c r="K106" s="10">
        <f>(K59*'Emission Factors and Constants'!$C$38)+(K59*'Emission Factors and Constants'!$C$39*'Emission Factors and Constants'!$C$26)+(K59*'Emission Factors and Constants'!$C$40*'Emission Factors and Constants'!$C$27)</f>
        <v>1255917.6530889845</v>
      </c>
      <c r="L106" s="10">
        <f>(L59*'Emission Factors and Constants'!$C$38)+(L59*'Emission Factors and Constants'!$C$39*'Emission Factors and Constants'!$C$26)+(L59*'Emission Factors and Constants'!$C$40*'Emission Factors and Constants'!$C$27)</f>
        <v>1258756.325599212</v>
      </c>
      <c r="M106" s="10">
        <f>(M59*'Emission Factors and Constants'!$C$38)+(M59*'Emission Factors and Constants'!$C$39*'Emission Factors and Constants'!$C$26)+(M59*'Emission Factors and Constants'!$C$40*'Emission Factors and Constants'!$C$27)</f>
        <v>1261574.5362640708</v>
      </c>
      <c r="N106" s="10">
        <f>(N59*'Emission Factors and Constants'!$C$38)+(N59*'Emission Factors and Constants'!$C$39*'Emission Factors and Constants'!$C$26)+(N59*'Emission Factors and Constants'!$C$40*'Emission Factors and Constants'!$C$27)</f>
        <v>1264372.9268887416</v>
      </c>
      <c r="O106" s="10">
        <f>(O59*'Emission Factors and Constants'!$C$38)+(O59*'Emission Factors and Constants'!$C$39*'Emission Factors and Constants'!$C$26)+(O59*'Emission Factors and Constants'!$C$40*'Emission Factors and Constants'!$C$27)</f>
        <v>1263602.6403248645</v>
      </c>
      <c r="P106" s="10">
        <f>(P59*'Emission Factors and Constants'!$C$38)+(P59*'Emission Factors and Constants'!$C$39*'Emission Factors and Constants'!$C$26)+(P59*'Emission Factors and Constants'!$C$40*'Emission Factors and Constants'!$C$27)</f>
        <v>1262821.2703732518</v>
      </c>
      <c r="Q106" s="10">
        <f>(Q59*'Emission Factors and Constants'!$C$38)+(Q59*'Emission Factors and Constants'!$C$39*'Emission Factors and Constants'!$C$26)+(Q59*'Emission Factors and Constants'!$C$40*'Emission Factors and Constants'!$C$27)</f>
        <v>1262249.1426572241</v>
      </c>
      <c r="R106" s="10">
        <f>(R59*'Emission Factors and Constants'!$C$38)+(R59*'Emission Factors and Constants'!$C$39*'Emission Factors and Constants'!$C$26)+(R59*'Emission Factors and Constants'!$C$40*'Emission Factors and Constants'!$C$27)</f>
        <v>1261667.7124074036</v>
      </c>
      <c r="S106" s="10">
        <f>(S59*'Emission Factors and Constants'!$C$38)+(S59*'Emission Factors and Constants'!$C$39*'Emission Factors and Constants'!$C$26)+(S59*'Emission Factors and Constants'!$C$40*'Emission Factors and Constants'!$C$27)</f>
        <v>1261076.5852528214</v>
      </c>
      <c r="T106" s="10">
        <f>(T59*'Emission Factors and Constants'!$C$38)+(T59*'Emission Factors and Constants'!$C$39*'Emission Factors and Constants'!$C$26)+(T59*'Emission Factors and Constants'!$C$40*'Emission Factors and Constants'!$C$27)</f>
        <v>1253294.0232289277</v>
      </c>
      <c r="U106" s="10">
        <f>(U59*'Emission Factors and Constants'!$C$38)+(U59*'Emission Factors and Constants'!$C$39*'Emission Factors and Constants'!$C$26)+(U59*'Emission Factors and Constants'!$C$40*'Emission Factors and Constants'!$C$27)</f>
        <v>1245538.4958811584</v>
      </c>
      <c r="V106" s="10">
        <f>(V59*'Emission Factors and Constants'!$C$38)+(V59*'Emission Factors and Constants'!$C$39*'Emission Factors and Constants'!$C$26)+(V59*'Emission Factors and Constants'!$C$40*'Emission Factors and Constants'!$C$27)</f>
        <v>1237810.0953645397</v>
      </c>
      <c r="W106" s="10">
        <f>(W59*'Emission Factors and Constants'!$C$38)+(W59*'Emission Factors and Constants'!$C$39*'Emission Factors and Constants'!$C$26)+(W59*'Emission Factors and Constants'!$C$40*'Emission Factors and Constants'!$C$27)</f>
        <v>1230110.3398698187</v>
      </c>
      <c r="X106" s="10">
        <f>(X59*'Emission Factors and Constants'!$C$38)+(X59*'Emission Factors and Constants'!$C$39*'Emission Factors and Constants'!$C$26)+(X59*'Emission Factors and Constants'!$C$40*'Emission Factors and Constants'!$C$27)</f>
        <v>1222438.9877683176</v>
      </c>
      <c r="Y106" s="10">
        <f>(Y59*'Emission Factors and Constants'!$C$38)+(Y59*'Emission Factors and Constants'!$C$39*'Emission Factors and Constants'!$C$26)+(Y59*'Emission Factors and Constants'!$C$40*'Emission Factors and Constants'!$C$27)</f>
        <v>1221267.0614463822</v>
      </c>
      <c r="Z106" s="10">
        <f>(Z59*'Emission Factors and Constants'!$C$38)+(Z59*'Emission Factors and Constants'!$C$39*'Emission Factors and Constants'!$C$26)+(Z59*'Emission Factors and Constants'!$C$40*'Emission Factors and Constants'!$C$27)</f>
        <v>1220109.8977882126</v>
      </c>
      <c r="AA106" s="10">
        <f>(AA59*'Emission Factors and Constants'!$C$38)+(AA59*'Emission Factors and Constants'!$C$39*'Emission Factors and Constants'!$C$26)+(AA59*'Emission Factors and Constants'!$C$40*'Emission Factors and Constants'!$C$27)</f>
        <v>1218968.242875047</v>
      </c>
      <c r="AB106" s="10">
        <f>(AB59*'Emission Factors and Constants'!$C$38)+(AB59*'Emission Factors and Constants'!$C$39*'Emission Factors and Constants'!$C$26)+(AB59*'Emission Factors and Constants'!$C$40*'Emission Factors and Constants'!$C$27)</f>
        <v>1217841.3373971717</v>
      </c>
      <c r="AC106" s="10">
        <f>(AC59*'Emission Factors and Constants'!$C$38)+(AC59*'Emission Factors and Constants'!$C$39*'Emission Factors and Constants'!$C$26)+(AC59*'Emission Factors and Constants'!$C$40*'Emission Factors and Constants'!$C$27)</f>
        <v>1216730.1556480357</v>
      </c>
      <c r="AD106" s="341"/>
      <c r="AE106" s="346"/>
    </row>
    <row r="107" spans="1:31" ht="25.35" customHeight="1" x14ac:dyDescent="0.7">
      <c r="A107" s="118" t="s">
        <v>244</v>
      </c>
      <c r="B107" s="193">
        <v>66013.197738110437</v>
      </c>
      <c r="C107" s="10">
        <f>SUM(C105:C106)*'Emission Factors and Constants'!$C$98</f>
        <v>65984.122514085553</v>
      </c>
      <c r="D107" s="10">
        <f>SUM(D105:D106)*'Emission Factors and Constants'!$C$98</f>
        <v>65952.744623551742</v>
      </c>
      <c r="E107" s="10">
        <f>SUM(E105:E106)*'Emission Factors and Constants'!$C$98</f>
        <v>65817.998683241996</v>
      </c>
      <c r="F107" s="10">
        <f>SUM(F105:F106)*'Emission Factors and Constants'!$C$98</f>
        <v>65680.578804490346</v>
      </c>
      <c r="G107" s="10">
        <f>SUM(G105:G106)*'Emission Factors and Constants'!$C$98</f>
        <v>65540.361655636443</v>
      </c>
      <c r="H107" s="10">
        <f>SUM(H105:H106)*'Emission Factors and Constants'!$C$98</f>
        <v>65397.179696011306</v>
      </c>
      <c r="I107" s="10">
        <f>SUM(I105:I106)*'Emission Factors and Constants'!$C$98</f>
        <v>65251.02816546963</v>
      </c>
      <c r="J107" s="10">
        <f>SUM(J105:J106)*'Emission Factors and Constants'!$C$98</f>
        <v>65365.534895917233</v>
      </c>
      <c r="K107" s="10">
        <f>SUM(K105:K106)*'Emission Factors and Constants'!$C$98</f>
        <v>65477.553765636272</v>
      </c>
      <c r="L107" s="10">
        <f>SUM(L105:L106)*'Emission Factors and Constants'!$C$98</f>
        <v>65586.900578488116</v>
      </c>
      <c r="M107" s="10">
        <f>SUM(M105:M106)*'Emission Factors and Constants'!$C$98</f>
        <v>65693.846505591137</v>
      </c>
      <c r="N107" s="10">
        <f>SUM(N105:N106)*'Emission Factors and Constants'!$C$98</f>
        <v>65798.938487552194</v>
      </c>
      <c r="O107" s="10">
        <f>SUM(O105:O106)*'Emission Factors and Constants'!$C$98</f>
        <v>65716.561749188782</v>
      </c>
      <c r="P107" s="10">
        <f>SUM(P105:P106)*'Emission Factors and Constants'!$C$98</f>
        <v>65647.645352096733</v>
      </c>
      <c r="Q107" s="10">
        <f>SUM(Q105:Q106)*'Emission Factors and Constants'!$C$98</f>
        <v>65585.160971841789</v>
      </c>
      <c r="R107" s="10">
        <f>SUM(R105:R106)*'Emission Factors and Constants'!$C$98</f>
        <v>65522.00985368195</v>
      </c>
      <c r="S107" s="10">
        <f>SUM(S105:S106)*'Emission Factors and Constants'!$C$98</f>
        <v>65457.95242599881</v>
      </c>
      <c r="T107" s="10">
        <f>SUM(T105:T106)*'Emission Factors and Constants'!$C$98</f>
        <v>65016.94392078388</v>
      </c>
      <c r="U107" s="10">
        <f>SUM(U105:U106)*'Emission Factors and Constants'!$C$98</f>
        <v>64577.204698643174</v>
      </c>
      <c r="V107" s="10">
        <f>SUM(V105:V106)*'Emission Factors and Constants'!$C$98</f>
        <v>64138.563225645368</v>
      </c>
      <c r="W107" s="10">
        <f>SUM(W105:W106)*'Emission Factors and Constants'!$C$98</f>
        <v>63700.912162446119</v>
      </c>
      <c r="X107" s="10">
        <f>SUM(X105:X106)*'Emission Factors and Constants'!$C$98</f>
        <v>63264.277490393521</v>
      </c>
      <c r="Y107" s="10">
        <f>SUM(Y105:Y106)*'Emission Factors and Constants'!$C$98</f>
        <v>63168.121269069234</v>
      </c>
      <c r="Z107" s="10">
        <f>SUM(Z105:Z106)*'Emission Factors and Constants'!$C$98</f>
        <v>63071.911820144218</v>
      </c>
      <c r="AA107" s="10">
        <f>SUM(AA105:AA106)*'Emission Factors and Constants'!$C$98</f>
        <v>62975.675002336786</v>
      </c>
      <c r="AB107" s="10">
        <f>SUM(AB105:AB106)*'Emission Factors and Constants'!$C$98</f>
        <v>62879.179575840724</v>
      </c>
      <c r="AC107" s="10">
        <f>SUM(AC105:AC106)*'Emission Factors and Constants'!$C$98</f>
        <v>62779.747735086756</v>
      </c>
      <c r="AD107" s="341"/>
      <c r="AE107" s="346"/>
    </row>
    <row r="108" spans="1:31" ht="24" x14ac:dyDescent="0.85">
      <c r="A108" s="248" t="s">
        <v>185</v>
      </c>
      <c r="B108" s="249"/>
      <c r="C108" s="249"/>
      <c r="D108" s="249"/>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50"/>
      <c r="AD108" s="341"/>
    </row>
    <row r="109" spans="1:31" ht="25.35" customHeight="1" x14ac:dyDescent="0.7">
      <c r="A109" s="118" t="s">
        <v>476</v>
      </c>
      <c r="B109" s="193">
        <v>3903.847239344263</v>
      </c>
      <c r="C109" s="10">
        <f>(C61*'Emission Factors and Constants'!$C$43)+(C61*'Emission Factors and Constants'!$C$44*'Emission Factors and Constants'!$C$26)+(C61*'Emission Factors and Constants'!$C$45*'Emission Factors and Constants'!$C$27)</f>
        <v>3899.362613911092</v>
      </c>
      <c r="D109" s="10">
        <f>(D61*'Emission Factors and Constants'!$C$43)+(D61*'Emission Factors and Constants'!$C$44*'Emission Factors and Constants'!$C$26)+(D61*'Emission Factors and Constants'!$C$45*'Emission Factors and Constants'!$C$27)</f>
        <v>3894.8779884779206</v>
      </c>
      <c r="E109" s="10">
        <f>(E61*'Emission Factors and Constants'!$C$43)+(E61*'Emission Factors and Constants'!$C$44*'Emission Factors and Constants'!$C$26)+(E61*'Emission Factors and Constants'!$C$45*'Emission Factors and Constants'!$C$27)</f>
        <v>3883.5169373805538</v>
      </c>
      <c r="F109" s="10">
        <f>(F61*'Emission Factors and Constants'!$C$43)+(F61*'Emission Factors and Constants'!$C$44*'Emission Factors and Constants'!$C$26)+(F61*'Emission Factors and Constants'!$C$45*'Emission Factors and Constants'!$C$27)</f>
        <v>3872.1558862831866</v>
      </c>
      <c r="G109" s="10">
        <f>(G61*'Emission Factors and Constants'!$C$43)+(G61*'Emission Factors and Constants'!$C$44*'Emission Factors and Constants'!$C$26)+(G61*'Emission Factors and Constants'!$C$45*'Emission Factors and Constants'!$C$27)</f>
        <v>3860.7948351858195</v>
      </c>
      <c r="H109" s="10">
        <f>(H61*'Emission Factors and Constants'!$C$43)+(H61*'Emission Factors and Constants'!$C$44*'Emission Factors and Constants'!$C$26)+(H61*'Emission Factors and Constants'!$C$45*'Emission Factors and Constants'!$C$27)</f>
        <v>3849.4337840884532</v>
      </c>
      <c r="I109" s="10">
        <f>(I61*'Emission Factors and Constants'!$C$43)+(I61*'Emission Factors and Constants'!$C$44*'Emission Factors and Constants'!$C$26)+(I61*'Emission Factors and Constants'!$C$45*'Emission Factors and Constants'!$C$27)</f>
        <v>3838.072732991086</v>
      </c>
      <c r="J109" s="10">
        <f>(J61*'Emission Factors and Constants'!$C$43)+(J61*'Emission Factors and Constants'!$C$44*'Emission Factors and Constants'!$C$26)+(J61*'Emission Factors and Constants'!$C$45*'Emission Factors and Constants'!$C$27)</f>
        <v>3844.6501836264033</v>
      </c>
      <c r="K109" s="10">
        <f>(K61*'Emission Factors and Constants'!$C$43)+(K61*'Emission Factors and Constants'!$C$44*'Emission Factors and Constants'!$C$26)+(K61*'Emission Factors and Constants'!$C$45*'Emission Factors and Constants'!$C$27)</f>
        <v>3851.2276342617215</v>
      </c>
      <c r="L109" s="10">
        <f>(L61*'Emission Factors and Constants'!$C$43)+(L61*'Emission Factors and Constants'!$C$44*'Emission Factors and Constants'!$C$26)+(L61*'Emission Factors and Constants'!$C$45*'Emission Factors and Constants'!$C$27)</f>
        <v>3857.8050848970393</v>
      </c>
      <c r="M109" s="10">
        <f>(M61*'Emission Factors and Constants'!$C$43)+(M61*'Emission Factors and Constants'!$C$44*'Emission Factors and Constants'!$C$26)+(M61*'Emission Factors and Constants'!$C$45*'Emission Factors and Constants'!$C$27)</f>
        <v>3864.3825355323561</v>
      </c>
      <c r="N109" s="10">
        <f>(N61*'Emission Factors and Constants'!$C$43)+(N61*'Emission Factors and Constants'!$C$44*'Emission Factors and Constants'!$C$26)+(N61*'Emission Factors and Constants'!$C$45*'Emission Factors and Constants'!$C$27)</f>
        <v>3870.9599861676743</v>
      </c>
      <c r="O109" s="10">
        <f>(O61*'Emission Factors and Constants'!$C$43)+(O61*'Emission Factors and Constants'!$C$44*'Emission Factors and Constants'!$C$26)+(O61*'Emission Factors and Constants'!$C$45*'Emission Factors and Constants'!$C$27)</f>
        <v>3864.830998075674</v>
      </c>
      <c r="P109" s="10">
        <f>(P61*'Emission Factors and Constants'!$C$43)+(P61*'Emission Factors and Constants'!$C$44*'Emission Factors and Constants'!$C$26)+(P61*'Emission Factors and Constants'!$C$45*'Emission Factors and Constants'!$C$27)</f>
        <v>3858.7020099836736</v>
      </c>
      <c r="Q109" s="10">
        <f>(Q61*'Emission Factors and Constants'!$C$43)+(Q61*'Emission Factors and Constants'!$C$44*'Emission Factors and Constants'!$C$26)+(Q61*'Emission Factors and Constants'!$C$45*'Emission Factors and Constants'!$C$27)</f>
        <v>3852.5730218916729</v>
      </c>
      <c r="R109" s="10">
        <f>(R61*'Emission Factors and Constants'!$C$43)+(R61*'Emission Factors and Constants'!$C$44*'Emission Factors and Constants'!$C$26)+(R61*'Emission Factors and Constants'!$C$45*'Emission Factors and Constants'!$C$27)</f>
        <v>3846.4440337996716</v>
      </c>
      <c r="S109" s="10">
        <f>(S61*'Emission Factors and Constants'!$C$43)+(S61*'Emission Factors and Constants'!$C$44*'Emission Factors and Constants'!$C$26)+(S61*'Emission Factors and Constants'!$C$45*'Emission Factors and Constants'!$C$27)</f>
        <v>3840.3150457076717</v>
      </c>
      <c r="T109" s="10">
        <f>(T61*'Emission Factors and Constants'!$C$43)+(T61*'Emission Factors and Constants'!$C$44*'Emission Factors and Constants'!$C$26)+(T61*'Emission Factors and Constants'!$C$45*'Emission Factors and Constants'!$C$27)</f>
        <v>3808.025742588839</v>
      </c>
      <c r="U109" s="10">
        <f>(U61*'Emission Factors and Constants'!$C$43)+(U61*'Emission Factors and Constants'!$C$44*'Emission Factors and Constants'!$C$26)+(U61*'Emission Factors and Constants'!$C$45*'Emission Factors and Constants'!$C$27)</f>
        <v>3775.7364394700071</v>
      </c>
      <c r="V109" s="10">
        <f>(V61*'Emission Factors and Constants'!$C$43)+(V61*'Emission Factors and Constants'!$C$44*'Emission Factors and Constants'!$C$26)+(V61*'Emission Factors and Constants'!$C$45*'Emission Factors and Constants'!$C$27)</f>
        <v>3743.4471363511752</v>
      </c>
      <c r="W109" s="10">
        <f>(W61*'Emission Factors and Constants'!$C$43)+(W61*'Emission Factors and Constants'!$C$44*'Emission Factors and Constants'!$C$26)+(W61*'Emission Factors and Constants'!$C$45*'Emission Factors and Constants'!$C$27)</f>
        <v>3711.1578332323425</v>
      </c>
      <c r="X109" s="10">
        <f>(X61*'Emission Factors and Constants'!$C$43)+(X61*'Emission Factors and Constants'!$C$44*'Emission Factors and Constants'!$C$26)+(X61*'Emission Factors and Constants'!$C$45*'Emission Factors and Constants'!$C$27)</f>
        <v>3678.8685301135106</v>
      </c>
      <c r="Y109" s="10">
        <f>(Y61*'Emission Factors and Constants'!$C$43)+(Y61*'Emission Factors and Constants'!$C$44*'Emission Factors and Constants'!$C$26)+(Y61*'Emission Factors and Constants'!$C$45*'Emission Factors and Constants'!$C$27)</f>
        <v>3669.7497917327296</v>
      </c>
      <c r="Z109" s="10">
        <f>(Z61*'Emission Factors and Constants'!$C$43)+(Z61*'Emission Factors and Constants'!$C$44*'Emission Factors and Constants'!$C$26)+(Z61*'Emission Factors and Constants'!$C$45*'Emission Factors and Constants'!$C$27)</f>
        <v>3660.6310533519481</v>
      </c>
      <c r="AA109" s="10">
        <f>(AA61*'Emission Factors and Constants'!$C$43)+(AA61*'Emission Factors and Constants'!$C$44*'Emission Factors and Constants'!$C$26)+(AA61*'Emission Factors and Constants'!$C$45*'Emission Factors and Constants'!$C$27)</f>
        <v>3651.5123149711676</v>
      </c>
      <c r="AB109" s="10">
        <f>(AB61*'Emission Factors and Constants'!$C$43)+(AB61*'Emission Factors and Constants'!$C$44*'Emission Factors and Constants'!$C$26)+(AB61*'Emission Factors and Constants'!$C$45*'Emission Factors and Constants'!$C$27)</f>
        <v>3642.3935765903857</v>
      </c>
      <c r="AC109" s="10">
        <f>(AC61*'Emission Factors and Constants'!$C$43)+(AC61*'Emission Factors and Constants'!$C$44*'Emission Factors and Constants'!$C$26)+(AC61*'Emission Factors and Constants'!$C$45*'Emission Factors and Constants'!$C$27)</f>
        <v>3633.2748382096047</v>
      </c>
      <c r="AD109" s="341"/>
      <c r="AE109" s="346"/>
    </row>
    <row r="110" spans="1:31" ht="25.35" customHeight="1" x14ac:dyDescent="0.7">
      <c r="A110" s="118" t="s">
        <v>477</v>
      </c>
      <c r="B110" s="193">
        <v>2241.2333925000003</v>
      </c>
      <c r="C110" s="10">
        <f>(C62*'Emission Factors and Constants'!$C$43)+(C62*'Emission Factors and Constants'!$C$44*'Emission Factors and Constants'!$C$26)+(C62*'Emission Factors and Constants'!$C$45*'Emission Factors and Constants'!$C$27)</f>
        <v>2235.7337326504194</v>
      </c>
      <c r="D110" s="10">
        <f>(D62*'Emission Factors and Constants'!$C$43)+(D62*'Emission Factors and Constants'!$C$44*'Emission Factors and Constants'!$C$26)+(D62*'Emission Factors and Constants'!$C$45*'Emission Factors and Constants'!$C$27)</f>
        <v>2230.2439386919941</v>
      </c>
      <c r="E110" s="10">
        <f>(E62*'Emission Factors and Constants'!$C$43)+(E62*'Emission Factors and Constants'!$C$44*'Emission Factors and Constants'!$C$26)+(E62*'Emission Factors and Constants'!$C$45*'Emission Factors and Constants'!$C$27)</f>
        <v>2224.7731798750019</v>
      </c>
      <c r="F110" s="10">
        <f>(F62*'Emission Factors and Constants'!$C$43)+(F62*'Emission Factors and Constants'!$C$44*'Emission Factors and Constants'!$C$26)+(F62*'Emission Factors and Constants'!$C$45*'Emission Factors and Constants'!$C$27)</f>
        <v>2219.320602343299</v>
      </c>
      <c r="G110" s="10">
        <f>(G62*'Emission Factors and Constants'!$C$43)+(G62*'Emission Factors and Constants'!$C$44*'Emission Factors and Constants'!$C$26)+(G62*'Emission Factors and Constants'!$C$45*'Emission Factors and Constants'!$C$27)</f>
        <v>2213.8867912415262</v>
      </c>
      <c r="H110" s="10">
        <f>(H62*'Emission Factors and Constants'!$C$43)+(H62*'Emission Factors and Constants'!$C$44*'Emission Factors and Constants'!$C$26)+(H62*'Emission Factors and Constants'!$C$45*'Emission Factors and Constants'!$C$27)</f>
        <v>2208.4721729533485</v>
      </c>
      <c r="I110" s="10">
        <f>(I62*'Emission Factors and Constants'!$C$43)+(I62*'Emission Factors and Constants'!$C$44*'Emission Factors and Constants'!$C$26)+(I62*'Emission Factors and Constants'!$C$45*'Emission Factors and Constants'!$C$27)</f>
        <v>2203.0759605491953</v>
      </c>
      <c r="J110" s="10">
        <f>(J62*'Emission Factors and Constants'!$C$43)+(J62*'Emission Factors and Constants'!$C$44*'Emission Factors and Constants'!$C$26)+(J62*'Emission Factors and Constants'!$C$45*'Emission Factors and Constants'!$C$27)</f>
        <v>2197.6536905462631</v>
      </c>
      <c r="K110" s="10">
        <f>(K62*'Emission Factors and Constants'!$C$43)+(K62*'Emission Factors and Constants'!$C$44*'Emission Factors and Constants'!$C$26)+(K62*'Emission Factors and Constants'!$C$45*'Emission Factors and Constants'!$C$27)</f>
        <v>2192.2039932434154</v>
      </c>
      <c r="L110" s="10">
        <f>(L62*'Emission Factors and Constants'!$C$43)+(L62*'Emission Factors and Constants'!$C$44*'Emission Factors and Constants'!$C$26)+(L62*'Emission Factors and Constants'!$C$45*'Emission Factors and Constants'!$C$27)</f>
        <v>2186.7263104012754</v>
      </c>
      <c r="M110" s="10">
        <f>(M62*'Emission Factors and Constants'!$C$43)+(M62*'Emission Factors and Constants'!$C$44*'Emission Factors and Constants'!$C$26)+(M62*'Emission Factors and Constants'!$C$45*'Emission Factors and Constants'!$C$27)</f>
        <v>2181.2201229364496</v>
      </c>
      <c r="N110" s="10">
        <f>(N62*'Emission Factors and Constants'!$C$43)+(N62*'Emission Factors and Constants'!$C$44*'Emission Factors and Constants'!$C$26)+(N62*'Emission Factors and Constants'!$C$45*'Emission Factors and Constants'!$C$27)</f>
        <v>2175.6860589869652</v>
      </c>
      <c r="O110" s="10">
        <f>(O62*'Emission Factors and Constants'!$C$43)+(O62*'Emission Factors and Constants'!$C$44*'Emission Factors and Constants'!$C$26)+(O62*'Emission Factors and Constants'!$C$45*'Emission Factors and Constants'!$C$27)</f>
        <v>2170.1438113683639</v>
      </c>
      <c r="P110" s="10">
        <f>(P62*'Emission Factors and Constants'!$C$43)+(P62*'Emission Factors and Constants'!$C$44*'Emission Factors and Constants'!$C$26)+(P62*'Emission Factors and Constants'!$C$45*'Emission Factors and Constants'!$C$27)</f>
        <v>2164.5962003517516</v>
      </c>
      <c r="Q110" s="10">
        <f>(Q62*'Emission Factors and Constants'!$C$43)+(Q62*'Emission Factors and Constants'!$C$44*'Emission Factors and Constants'!$C$26)+(Q62*'Emission Factors and Constants'!$C$45*'Emission Factors and Constants'!$C$27)</f>
        <v>2159.6801598853249</v>
      </c>
      <c r="R110" s="10">
        <f>(R62*'Emission Factors and Constants'!$C$43)+(R62*'Emission Factors and Constants'!$C$44*'Emission Factors and Constants'!$C$26)+(R62*'Emission Factors and Constants'!$C$45*'Emission Factors and Constants'!$C$27)</f>
        <v>2154.7590884673755</v>
      </c>
      <c r="S110" s="10">
        <f>(S62*'Emission Factors and Constants'!$C$43)+(S62*'Emission Factors and Constants'!$C$44*'Emission Factors and Constants'!$C$26)+(S62*'Emission Factors and Constants'!$C$45*'Emission Factors and Constants'!$C$27)</f>
        <v>2149.8309932625589</v>
      </c>
      <c r="T110" s="10">
        <f>(T62*'Emission Factors and Constants'!$C$43)+(T62*'Emission Factors and Constants'!$C$44*'Emission Factors and Constants'!$C$26)+(T62*'Emission Factors and Constants'!$C$45*'Emission Factors and Constants'!$C$27)</f>
        <v>2144.9383659101572</v>
      </c>
      <c r="U110" s="10">
        <f>(U62*'Emission Factors and Constants'!$C$43)+(U62*'Emission Factors and Constants'!$C$44*'Emission Factors and Constants'!$C$26)+(U62*'Emission Factors and Constants'!$C$45*'Emission Factors and Constants'!$C$27)</f>
        <v>2140.081316733239</v>
      </c>
      <c r="V110" s="10">
        <f>(V62*'Emission Factors and Constants'!$C$43)+(V62*'Emission Factors and Constants'!$C$44*'Emission Factors and Constants'!$C$26)+(V62*'Emission Factors and Constants'!$C$45*'Emission Factors and Constants'!$C$27)</f>
        <v>2135.2592072507186</v>
      </c>
      <c r="W110" s="10">
        <f>(W62*'Emission Factors and Constants'!$C$43)+(W62*'Emission Factors and Constants'!$C$44*'Emission Factors and Constants'!$C$26)+(W62*'Emission Factors and Constants'!$C$45*'Emission Factors and Constants'!$C$27)</f>
        <v>2130.4755650509865</v>
      </c>
      <c r="X110" s="10">
        <f>(X62*'Emission Factors and Constants'!$C$43)+(X62*'Emission Factors and Constants'!$C$44*'Emission Factors and Constants'!$C$26)+(X62*'Emission Factors and Constants'!$C$45*'Emission Factors and Constants'!$C$27)</f>
        <v>2125.7289669334027</v>
      </c>
      <c r="Y110" s="10">
        <f>(Y62*'Emission Factors and Constants'!$C$43)+(Y62*'Emission Factors and Constants'!$C$44*'Emission Factors and Constants'!$C$26)+(Y62*'Emission Factors and Constants'!$C$45*'Emission Factors and Constants'!$C$27)</f>
        <v>2120.9807493934336</v>
      </c>
      <c r="Z110" s="10">
        <f>(Z62*'Emission Factors and Constants'!$C$43)+(Z62*'Emission Factors and Constants'!$C$44*'Emission Factors and Constants'!$C$26)+(Z62*'Emission Factors and Constants'!$C$45*'Emission Factors and Constants'!$C$27)</f>
        <v>2116.2296055287466</v>
      </c>
      <c r="AA110" s="10">
        <f>(AA62*'Emission Factors and Constants'!$C$43)+(AA62*'Emission Factors and Constants'!$C$44*'Emission Factors and Constants'!$C$26)+(AA62*'Emission Factors and Constants'!$C$45*'Emission Factors and Constants'!$C$27)</f>
        <v>2111.4773166079758</v>
      </c>
      <c r="AB110" s="10">
        <f>(AB62*'Emission Factors and Constants'!$C$43)+(AB62*'Emission Factors and Constants'!$C$44*'Emission Factors and Constants'!$C$26)+(AB62*'Emission Factors and Constants'!$C$45*'Emission Factors and Constants'!$C$27)</f>
        <v>2106.7214192786082</v>
      </c>
      <c r="AC110" s="10">
        <f>(AC62*'Emission Factors and Constants'!$C$43)+(AC62*'Emission Factors and Constants'!$C$44*'Emission Factors and Constants'!$C$26)+(AC62*'Emission Factors and Constants'!$C$45*'Emission Factors and Constants'!$C$27)</f>
        <v>2101.9643364937538</v>
      </c>
      <c r="AD110" s="341"/>
      <c r="AE110" s="346"/>
    </row>
    <row r="111" spans="1:31" ht="25.35" customHeight="1" x14ac:dyDescent="0.7">
      <c r="A111" s="117" t="s">
        <v>243</v>
      </c>
      <c r="B111" s="193">
        <v>16.13682</v>
      </c>
      <c r="C111" s="10">
        <f>B111</f>
        <v>16.13682</v>
      </c>
      <c r="D111" s="10">
        <f t="shared" ref="D111:AC111" si="57">C111</f>
        <v>16.13682</v>
      </c>
      <c r="E111" s="10">
        <f t="shared" si="57"/>
        <v>16.13682</v>
      </c>
      <c r="F111" s="10">
        <f t="shared" si="57"/>
        <v>16.13682</v>
      </c>
      <c r="G111" s="10">
        <f>F111</f>
        <v>16.13682</v>
      </c>
      <c r="H111" s="10">
        <f t="shared" si="57"/>
        <v>16.13682</v>
      </c>
      <c r="I111" s="10">
        <f t="shared" si="57"/>
        <v>16.13682</v>
      </c>
      <c r="J111" s="10">
        <f t="shared" si="57"/>
        <v>16.13682</v>
      </c>
      <c r="K111" s="10">
        <f t="shared" si="57"/>
        <v>16.13682</v>
      </c>
      <c r="L111" s="10">
        <f t="shared" si="57"/>
        <v>16.13682</v>
      </c>
      <c r="M111" s="10">
        <f t="shared" si="57"/>
        <v>16.13682</v>
      </c>
      <c r="N111" s="10">
        <f t="shared" si="57"/>
        <v>16.13682</v>
      </c>
      <c r="O111" s="10">
        <f t="shared" si="57"/>
        <v>16.13682</v>
      </c>
      <c r="P111" s="10">
        <f t="shared" si="57"/>
        <v>16.13682</v>
      </c>
      <c r="Q111" s="10">
        <f t="shared" si="57"/>
        <v>16.13682</v>
      </c>
      <c r="R111" s="10">
        <f t="shared" si="57"/>
        <v>16.13682</v>
      </c>
      <c r="S111" s="10">
        <f t="shared" si="57"/>
        <v>16.13682</v>
      </c>
      <c r="T111" s="10">
        <f t="shared" si="57"/>
        <v>16.13682</v>
      </c>
      <c r="U111" s="10">
        <f t="shared" si="57"/>
        <v>16.13682</v>
      </c>
      <c r="V111" s="10">
        <f t="shared" si="57"/>
        <v>16.13682</v>
      </c>
      <c r="W111" s="10">
        <f t="shared" si="57"/>
        <v>16.13682</v>
      </c>
      <c r="X111" s="10">
        <f t="shared" si="57"/>
        <v>16.13682</v>
      </c>
      <c r="Y111" s="10">
        <f t="shared" si="57"/>
        <v>16.13682</v>
      </c>
      <c r="Z111" s="10">
        <f t="shared" si="57"/>
        <v>16.13682</v>
      </c>
      <c r="AA111" s="10">
        <f t="shared" si="57"/>
        <v>16.13682</v>
      </c>
      <c r="AB111" s="10">
        <f t="shared" si="57"/>
        <v>16.13682</v>
      </c>
      <c r="AC111" s="10">
        <f t="shared" si="57"/>
        <v>16.13682</v>
      </c>
      <c r="AD111" s="341"/>
      <c r="AE111" s="346"/>
    </row>
    <row r="112" spans="1:31" ht="24" x14ac:dyDescent="0.85">
      <c r="A112" s="201" t="s">
        <v>43</v>
      </c>
      <c r="B112" s="202"/>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3"/>
      <c r="AD112" s="341"/>
    </row>
    <row r="113" spans="1:33" ht="25.35" customHeight="1" x14ac:dyDescent="0.7">
      <c r="A113" s="115"/>
      <c r="B113" s="11">
        <v>2023</v>
      </c>
      <c r="C113" s="11">
        <v>2024</v>
      </c>
      <c r="D113" s="11">
        <v>2025</v>
      </c>
      <c r="E113" s="11">
        <v>2026</v>
      </c>
      <c r="F113" s="11">
        <v>2027</v>
      </c>
      <c r="G113" s="11">
        <v>2028</v>
      </c>
      <c r="H113" s="11">
        <v>2029</v>
      </c>
      <c r="I113" s="11">
        <v>2030</v>
      </c>
      <c r="J113" s="11">
        <v>2031</v>
      </c>
      <c r="K113" s="11">
        <v>2032</v>
      </c>
      <c r="L113" s="11">
        <v>2033</v>
      </c>
      <c r="M113" s="11">
        <v>2034</v>
      </c>
      <c r="N113" s="11">
        <v>2035</v>
      </c>
      <c r="O113" s="11">
        <v>2036</v>
      </c>
      <c r="P113" s="11">
        <v>2037</v>
      </c>
      <c r="Q113" s="11">
        <v>2038</v>
      </c>
      <c r="R113" s="11">
        <v>2039</v>
      </c>
      <c r="S113" s="11">
        <v>2040</v>
      </c>
      <c r="T113" s="11">
        <v>2041</v>
      </c>
      <c r="U113" s="11">
        <v>2042</v>
      </c>
      <c r="V113" s="11">
        <v>2043</v>
      </c>
      <c r="W113" s="11">
        <v>2044</v>
      </c>
      <c r="X113" s="11">
        <v>2045</v>
      </c>
      <c r="Y113" s="11">
        <v>2046</v>
      </c>
      <c r="Z113" s="11">
        <v>2047</v>
      </c>
      <c r="AA113" s="11">
        <v>2048</v>
      </c>
      <c r="AB113" s="11">
        <v>2049</v>
      </c>
      <c r="AC113" s="11">
        <v>2050</v>
      </c>
      <c r="AD113" s="341"/>
    </row>
    <row r="114" spans="1:33" ht="24" x14ac:dyDescent="0.85">
      <c r="A114" s="251" t="s">
        <v>120</v>
      </c>
      <c r="B114" s="251"/>
      <c r="C114" s="251"/>
      <c r="D114" s="251"/>
      <c r="E114" s="251"/>
      <c r="F114" s="251"/>
      <c r="G114" s="251"/>
      <c r="H114" s="251"/>
      <c r="I114" s="251"/>
      <c r="J114" s="251"/>
      <c r="K114" s="251"/>
      <c r="L114" s="251"/>
      <c r="M114" s="251"/>
      <c r="N114" s="251"/>
      <c r="O114" s="251"/>
      <c r="P114" s="251"/>
      <c r="Q114" s="251"/>
      <c r="R114" s="251"/>
      <c r="S114" s="251"/>
      <c r="T114" s="251"/>
      <c r="U114" s="251"/>
      <c r="V114" s="251"/>
      <c r="W114" s="251"/>
      <c r="X114" s="251"/>
      <c r="Y114" s="251"/>
      <c r="Z114" s="251"/>
      <c r="AA114" s="251"/>
      <c r="AB114" s="251"/>
      <c r="AC114" s="251"/>
      <c r="AD114" s="341"/>
    </row>
    <row r="115" spans="1:33" ht="25.35" customHeight="1" x14ac:dyDescent="0.7">
      <c r="A115" s="119" t="s">
        <v>479</v>
      </c>
      <c r="B115" s="37">
        <v>1415729.3616425442</v>
      </c>
      <c r="C115" s="43">
        <f>'Baseline Transportation'!C111+'Baseline Transportation'!C115+'Baseline Transportation'!C119+'Baseline Transportation'!C123</f>
        <v>1387496.1565637069</v>
      </c>
      <c r="D115" s="43">
        <f>'Baseline Transportation'!D111+'Baseline Transportation'!D115+'Baseline Transportation'!D119+'Baseline Transportation'!D123</f>
        <v>1357309.9403573899</v>
      </c>
      <c r="E115" s="43">
        <f>'Baseline Transportation'!E111+'Baseline Transportation'!E115+'Baseline Transportation'!E119+'Baseline Transportation'!E123</f>
        <v>1326075.6419170706</v>
      </c>
      <c r="F115" s="43">
        <f>'Baseline Transportation'!F111+'Baseline Transportation'!F115+'Baseline Transportation'!F119+'Baseline Transportation'!F123</f>
        <v>1294882.4516978899</v>
      </c>
      <c r="G115" s="43">
        <f>'Baseline Transportation'!G111+'Baseline Transportation'!G115+'Baseline Transportation'!G119+'Baseline Transportation'!G123</f>
        <v>1263401.1308004612</v>
      </c>
      <c r="H115" s="43">
        <f>'Baseline Transportation'!H111+'Baseline Transportation'!H115+'Baseline Transportation'!H119+'Baseline Transportation'!H123</f>
        <v>1231910.0435181453</v>
      </c>
      <c r="I115" s="43">
        <f>'Baseline Transportation'!I111+'Baseline Transportation'!I115+'Baseline Transportation'!I119+'Baseline Transportation'!I123</f>
        <v>1200749.7138820132</v>
      </c>
      <c r="J115" s="43">
        <f>'Baseline Transportation'!J111+'Baseline Transportation'!J115+'Baseline Transportation'!J119+'Baseline Transportation'!J123</f>
        <v>1170605.6254253071</v>
      </c>
      <c r="K115" s="43">
        <f>'Baseline Transportation'!K111+'Baseline Transportation'!K115+'Baseline Transportation'!K119+'Baseline Transportation'!K123</f>
        <v>1141610.8561224788</v>
      </c>
      <c r="L115" s="43">
        <f>'Baseline Transportation'!L111+'Baseline Transportation'!L115+'Baseline Transportation'!L119+'Baseline Transportation'!L123</f>
        <v>1114524.8074706693</v>
      </c>
      <c r="M115" s="43">
        <f>'Baseline Transportation'!M111+'Baseline Transportation'!M115+'Baseline Transportation'!M119+'Baseline Transportation'!M123</f>
        <v>1088917.7047213071</v>
      </c>
      <c r="N115" s="43">
        <f>'Baseline Transportation'!N111+'Baseline Transportation'!N115+'Baseline Transportation'!N119+'Baseline Transportation'!N123</f>
        <v>1064064.5763754465</v>
      </c>
      <c r="O115" s="43">
        <f>'Baseline Transportation'!O111+'Baseline Transportation'!O115+'Baseline Transportation'!O119+'Baseline Transportation'!O123</f>
        <v>1041036.9778990056</v>
      </c>
      <c r="P115" s="43">
        <f>'Baseline Transportation'!P111+'Baseline Transportation'!P115+'Baseline Transportation'!P119+'Baseline Transportation'!P123</f>
        <v>1020053.423268753</v>
      </c>
      <c r="Q115" s="43">
        <f>'Baseline Transportation'!Q111+'Baseline Transportation'!Q115+'Baseline Transportation'!Q119+'Baseline Transportation'!Q123</f>
        <v>1001447.6831138171</v>
      </c>
      <c r="R115" s="43">
        <f>'Baseline Transportation'!R111+'Baseline Transportation'!R115+'Baseline Transportation'!R119+'Baseline Transportation'!R123</f>
        <v>984235.79781630298</v>
      </c>
      <c r="S115" s="43">
        <f>'Baseline Transportation'!S111+'Baseline Transportation'!S115+'Baseline Transportation'!S119+'Baseline Transportation'!S123</f>
        <v>969253.94570044358</v>
      </c>
      <c r="T115" s="43">
        <f>'Baseline Transportation'!T111+'Baseline Transportation'!T115+'Baseline Transportation'!T119+'Baseline Transportation'!T123</f>
        <v>954937.75916867866</v>
      </c>
      <c r="U115" s="43">
        <f>'Baseline Transportation'!U111+'Baseline Transportation'!U115+'Baseline Transportation'!U119+'Baseline Transportation'!U123</f>
        <v>942424.40317208145</v>
      </c>
      <c r="V115" s="43">
        <f>'Baseline Transportation'!V111+'Baseline Transportation'!V115+'Baseline Transportation'!V119+'Baseline Transportation'!V123</f>
        <v>931851.7732449678</v>
      </c>
      <c r="W115" s="43">
        <f>'Baseline Transportation'!W111+'Baseline Transportation'!W115+'Baseline Transportation'!W119+'Baseline Transportation'!W123</f>
        <v>922655.12498902006</v>
      </c>
      <c r="X115" s="43">
        <f>'Baseline Transportation'!X111+'Baseline Transportation'!X115+'Baseline Transportation'!X119+'Baseline Transportation'!X123</f>
        <v>914613.96778936475</v>
      </c>
      <c r="Y115" s="43">
        <f>'Baseline Transportation'!Y111+'Baseline Transportation'!Y115+'Baseline Transportation'!Y119+'Baseline Transportation'!Y123</f>
        <v>906863.47895271354</v>
      </c>
      <c r="Z115" s="43">
        <f>'Baseline Transportation'!Z111+'Baseline Transportation'!Z115+'Baseline Transportation'!Z119+'Baseline Transportation'!Z123</f>
        <v>900057.42640458175</v>
      </c>
      <c r="AA115" s="43">
        <f>'Baseline Transportation'!AA111+'Baseline Transportation'!AA115+'Baseline Transportation'!AA119+'Baseline Transportation'!AA123</f>
        <v>893836.84250348166</v>
      </c>
      <c r="AB115" s="43">
        <f>'Baseline Transportation'!AB111+'Baseline Transportation'!AB115+'Baseline Transportation'!AB119+'Baseline Transportation'!AB123</f>
        <v>887878.65241836116</v>
      </c>
      <c r="AC115" s="43">
        <f>'Baseline Transportation'!AC111+'Baseline Transportation'!AC115+'Baseline Transportation'!AC119+'Baseline Transportation'!AC123</f>
        <v>882514.13167042681</v>
      </c>
      <c r="AD115" s="344"/>
      <c r="AE115" s="344"/>
      <c r="AF115" s="341"/>
      <c r="AG115" s="348"/>
    </row>
    <row r="116" spans="1:33" ht="25.35" customHeight="1" x14ac:dyDescent="0.7">
      <c r="A116" s="119" t="s">
        <v>480</v>
      </c>
      <c r="B116" s="37">
        <v>366016.02568226977</v>
      </c>
      <c r="C116" s="43">
        <f>'Baseline Transportation'!C113+'Baseline Transportation'!C117+'Baseline Transportation'!C121</f>
        <v>358512.93021950708</v>
      </c>
      <c r="D116" s="43">
        <f>'Baseline Transportation'!D113+'Baseline Transportation'!D117+'Baseline Transportation'!D121</f>
        <v>351258.05007300258</v>
      </c>
      <c r="E116" s="43">
        <f>'Baseline Transportation'!E113+'Baseline Transportation'!E117+'Baseline Transportation'!E121</f>
        <v>344739.22927865264</v>
      </c>
      <c r="F116" s="43">
        <f>'Baseline Transportation'!F113+'Baseline Transportation'!F117+'Baseline Transportation'!F121</f>
        <v>338433.54718505702</v>
      </c>
      <c r="G116" s="43">
        <f>'Baseline Transportation'!G113+'Baseline Transportation'!G117+'Baseline Transportation'!G121</f>
        <v>332315.88372678112</v>
      </c>
      <c r="H116" s="43">
        <f>'Baseline Transportation'!H113+'Baseline Transportation'!H117+'Baseline Transportation'!H121</f>
        <v>326387.22238376434</v>
      </c>
      <c r="I116" s="43">
        <f>'Baseline Transportation'!I113+'Baseline Transportation'!I117+'Baseline Transportation'!I121</f>
        <v>320649.16260108282</v>
      </c>
      <c r="J116" s="43">
        <f>'Baseline Transportation'!J113+'Baseline Transportation'!J117+'Baseline Transportation'!J121</f>
        <v>315170.49797505431</v>
      </c>
      <c r="K116" s="43">
        <f>'Baseline Transportation'!K113+'Baseline Transportation'!K117+'Baseline Transportation'!K121</f>
        <v>309881.63986656064</v>
      </c>
      <c r="L116" s="43">
        <f>'Baseline Transportation'!L113+'Baseline Transportation'!L117+'Baseline Transportation'!L121</f>
        <v>304803.2568231406</v>
      </c>
      <c r="M116" s="43">
        <f>'Baseline Transportation'!M113+'Baseline Transportation'!M117+'Baseline Transportation'!M121</f>
        <v>299911.72135461052</v>
      </c>
      <c r="N116" s="43">
        <f>'Baseline Transportation'!N113+'Baseline Transportation'!N117+'Baseline Transportation'!N121</f>
        <v>295175.12794346182</v>
      </c>
      <c r="O116" s="43">
        <f>'Baseline Transportation'!O113+'Baseline Transportation'!O117+'Baseline Transportation'!O121</f>
        <v>292267.71368504566</v>
      </c>
      <c r="P116" s="43">
        <f>'Baseline Transportation'!P113+'Baseline Transportation'!P117+'Baseline Transportation'!P121</f>
        <v>289468.70156440441</v>
      </c>
      <c r="Q116" s="43">
        <f>'Baseline Transportation'!Q113+'Baseline Transportation'!Q117+'Baseline Transportation'!Q121</f>
        <v>286788.61097962299</v>
      </c>
      <c r="R116" s="43">
        <f>'Baseline Transportation'!R113+'Baseline Transportation'!R117+'Baseline Transportation'!R121</f>
        <v>284191.47928138531</v>
      </c>
      <c r="S116" s="43">
        <f>'Baseline Transportation'!S113+'Baseline Transportation'!S117+'Baseline Transportation'!S121</f>
        <v>281706.40936606965</v>
      </c>
      <c r="T116" s="43">
        <f>'Baseline Transportation'!T113+'Baseline Transportation'!T117+'Baseline Transportation'!T121</f>
        <v>279014.43045817228</v>
      </c>
      <c r="U116" s="43">
        <f>'Baseline Transportation'!U113+'Baseline Transportation'!U117+'Baseline Transportation'!U121</f>
        <v>276423.42385344696</v>
      </c>
      <c r="V116" s="43">
        <f>'Baseline Transportation'!V113+'Baseline Transportation'!V117+'Baseline Transportation'!V121</f>
        <v>273937.59355220804</v>
      </c>
      <c r="W116" s="43">
        <f>'Baseline Transportation'!W113+'Baseline Transportation'!W117+'Baseline Transportation'!W121</f>
        <v>271536.3924565445</v>
      </c>
      <c r="X116" s="43">
        <f>'Baseline Transportation'!X113+'Baseline Transportation'!X117+'Baseline Transportation'!X121</f>
        <v>269210.70717214432</v>
      </c>
      <c r="Y116" s="43">
        <f>'Baseline Transportation'!Y113+'Baseline Transportation'!Y117+'Baseline Transportation'!Y121</f>
        <v>266820.66427782743</v>
      </c>
      <c r="Z116" s="43">
        <f>'Baseline Transportation'!Z113+'Baseline Transportation'!Z117+'Baseline Transportation'!Z121</f>
        <v>264497.56377947994</v>
      </c>
      <c r="AA116" s="43">
        <f>'Baseline Transportation'!AA113+'Baseline Transportation'!AA117+'Baseline Transportation'!AA121</f>
        <v>262227.93890537735</v>
      </c>
      <c r="AB116" s="43">
        <f>'Baseline Transportation'!AB113+'Baseline Transportation'!AB117+'Baseline Transportation'!AB121</f>
        <v>259999.39217471812</v>
      </c>
      <c r="AC116" s="43">
        <f>'Baseline Transportation'!AC113+'Baseline Transportation'!AC117+'Baseline Transportation'!AC121</f>
        <v>257822.91281332259</v>
      </c>
      <c r="AF116" s="341"/>
      <c r="AG116" s="348"/>
    </row>
    <row r="117" spans="1:33" ht="25.35" customHeight="1" x14ac:dyDescent="0.7">
      <c r="A117" s="119" t="s">
        <v>481</v>
      </c>
      <c r="B117" s="37">
        <v>7588.8803990731403</v>
      </c>
      <c r="C117" s="43">
        <f>'Baseline Transportation'!C124+'Baseline Transportation'!C120+'Baseline Transportation'!C116+'Baseline Transportation'!C112</f>
        <v>7593.0883089253721</v>
      </c>
      <c r="D117" s="43">
        <f>'Baseline Transportation'!D124+'Baseline Transportation'!D120+'Baseline Transportation'!D116+'Baseline Transportation'!D112</f>
        <v>7595.2079246807771</v>
      </c>
      <c r="E117" s="43">
        <f>'Baseline Transportation'!E124+'Baseline Transportation'!E120+'Baseline Transportation'!E116+'Baseline Transportation'!E112</f>
        <v>7589.2694471195391</v>
      </c>
      <c r="F117" s="43">
        <f>'Baseline Transportation'!F124+'Baseline Transportation'!F120+'Baseline Transportation'!F116+'Baseline Transportation'!F112</f>
        <v>7583.5422361121691</v>
      </c>
      <c r="G117" s="43">
        <f>'Baseline Transportation'!G124+'Baseline Transportation'!G120+'Baseline Transportation'!G116+'Baseline Transportation'!G112</f>
        <v>7578.6130183421792</v>
      </c>
      <c r="H117" s="43">
        <f>'Baseline Transportation'!H124+'Baseline Transportation'!H120+'Baseline Transportation'!H116+'Baseline Transportation'!H112</f>
        <v>7574.2372786492779</v>
      </c>
      <c r="I117" s="43">
        <f>'Baseline Transportation'!I124+'Baseline Transportation'!I120+'Baseline Transportation'!I116+'Baseline Transportation'!I112</f>
        <v>7569.7649298971728</v>
      </c>
      <c r="J117" s="43">
        <f>'Baseline Transportation'!J124+'Baseline Transportation'!J120+'Baseline Transportation'!J116+'Baseline Transportation'!J112</f>
        <v>7558.4811193508112</v>
      </c>
      <c r="K117" s="43">
        <f>'Baseline Transportation'!K124+'Baseline Transportation'!K120+'Baseline Transportation'!K116+'Baseline Transportation'!K112</f>
        <v>7548.0313986405745</v>
      </c>
      <c r="L117" s="43">
        <f>'Baseline Transportation'!L124+'Baseline Transportation'!L120+'Baseline Transportation'!L116+'Baseline Transportation'!L112</f>
        <v>7538.2621154867029</v>
      </c>
      <c r="M117" s="43">
        <f>'Baseline Transportation'!M124+'Baseline Transportation'!M120+'Baseline Transportation'!M116+'Baseline Transportation'!M112</f>
        <v>7529.4752731739027</v>
      </c>
      <c r="N117" s="43">
        <f>'Baseline Transportation'!N124+'Baseline Transportation'!N120+'Baseline Transportation'!N116+'Baseline Transportation'!N112</f>
        <v>7522.1269538723081</v>
      </c>
      <c r="O117" s="43">
        <f>'Baseline Transportation'!O124+'Baseline Transportation'!O120+'Baseline Transportation'!O116+'Baseline Transportation'!O112</f>
        <v>7507.2832160780708</v>
      </c>
      <c r="P117" s="43">
        <f>'Baseline Transportation'!P124+'Baseline Transportation'!P120+'Baseline Transportation'!P116+'Baseline Transportation'!P112</f>
        <v>7494.4403952928405</v>
      </c>
      <c r="Q117" s="43">
        <f>'Baseline Transportation'!Q124+'Baseline Transportation'!Q120+'Baseline Transportation'!Q116+'Baseline Transportation'!Q112</f>
        <v>7483.6665977659022</v>
      </c>
      <c r="R117" s="43">
        <f>'Baseline Transportation'!R124+'Baseline Transportation'!R120+'Baseline Transportation'!R116+'Baseline Transportation'!R112</f>
        <v>7474.331184835959</v>
      </c>
      <c r="S117" s="43">
        <f>'Baseline Transportation'!S124+'Baseline Transportation'!S120+'Baseline Transportation'!S116+'Baseline Transportation'!S112</f>
        <v>7466.2406784768855</v>
      </c>
      <c r="T117" s="43">
        <f>'Baseline Transportation'!T124+'Baseline Transportation'!T120+'Baseline Transportation'!T116+'Baseline Transportation'!T112</f>
        <v>7452.913848442694</v>
      </c>
      <c r="U117" s="43">
        <f>'Baseline Transportation'!U124+'Baseline Transportation'!U120+'Baseline Transportation'!U116+'Baseline Transportation'!U112</f>
        <v>7440.3364974052929</v>
      </c>
      <c r="V117" s="43">
        <f>'Baseline Transportation'!V124+'Baseline Transportation'!V120+'Baseline Transportation'!V116+'Baseline Transportation'!V112</f>
        <v>7428.1555879766456</v>
      </c>
      <c r="W117" s="43">
        <f>'Baseline Transportation'!W124+'Baseline Transportation'!W120+'Baseline Transportation'!W116+'Baseline Transportation'!W112</f>
        <v>7416.2281403866637</v>
      </c>
      <c r="X117" s="43">
        <f>'Baseline Transportation'!X124+'Baseline Transportation'!X120+'Baseline Transportation'!X116+'Baseline Transportation'!X112</f>
        <v>7404.6593809588103</v>
      </c>
      <c r="Y117" s="43">
        <f>'Baseline Transportation'!Y124+'Baseline Transportation'!Y120+'Baseline Transportation'!Y116+'Baseline Transportation'!Y112</f>
        <v>7388.0759311803404</v>
      </c>
      <c r="Z117" s="43">
        <f>'Baseline Transportation'!Z124+'Baseline Transportation'!Z120+'Baseline Transportation'!Z116+'Baseline Transportation'!Z112</f>
        <v>7371.2798766001251</v>
      </c>
      <c r="AA117" s="43">
        <f>'Baseline Transportation'!AA124+'Baseline Transportation'!AA120+'Baseline Transportation'!AA116+'Baseline Transportation'!AA112</f>
        <v>7354.635272572481</v>
      </c>
      <c r="AB117" s="43">
        <f>'Baseline Transportation'!AB124+'Baseline Transportation'!AB120+'Baseline Transportation'!AB116+'Baseline Transportation'!AB112</f>
        <v>7338.0953204629968</v>
      </c>
      <c r="AC117" s="43">
        <f>'Baseline Transportation'!AC124+'Baseline Transportation'!AC120+'Baseline Transportation'!AC116+'Baseline Transportation'!AC112</f>
        <v>7321.2726734399312</v>
      </c>
      <c r="AF117" s="341"/>
      <c r="AG117" s="346"/>
    </row>
    <row r="118" spans="1:33" ht="33.6" customHeight="1" x14ac:dyDescent="0.7">
      <c r="A118" s="116" t="s">
        <v>482</v>
      </c>
      <c r="B118" s="50">
        <f>SUM(B115:B117)</f>
        <v>1789334.2677238872</v>
      </c>
      <c r="C118" s="44">
        <f>SUM(C115:C117)</f>
        <v>1753602.1750921393</v>
      </c>
      <c r="D118" s="44">
        <f t="shared" ref="D118:AC118" si="58">SUM(D115:D117)</f>
        <v>1716163.1983550731</v>
      </c>
      <c r="E118" s="44">
        <f t="shared" si="58"/>
        <v>1678404.1406428427</v>
      </c>
      <c r="F118" s="44">
        <f t="shared" si="58"/>
        <v>1640899.5411190591</v>
      </c>
      <c r="G118" s="44">
        <f t="shared" si="58"/>
        <v>1603295.6275455845</v>
      </c>
      <c r="H118" s="44">
        <f t="shared" si="58"/>
        <v>1565871.503180559</v>
      </c>
      <c r="I118" s="44">
        <f t="shared" si="58"/>
        <v>1528968.6414129932</v>
      </c>
      <c r="J118" s="44">
        <f t="shared" si="58"/>
        <v>1493334.604519712</v>
      </c>
      <c r="K118" s="44">
        <f t="shared" si="58"/>
        <v>1459040.52738768</v>
      </c>
      <c r="L118" s="44">
        <f t="shared" si="58"/>
        <v>1426866.3264092966</v>
      </c>
      <c r="M118" s="44">
        <f t="shared" si="58"/>
        <v>1396358.9013490917</v>
      </c>
      <c r="N118" s="44">
        <f t="shared" si="58"/>
        <v>1366761.8312727807</v>
      </c>
      <c r="O118" s="44">
        <f t="shared" si="58"/>
        <v>1340811.9748001294</v>
      </c>
      <c r="P118" s="44">
        <f t="shared" si="58"/>
        <v>1317016.5652284501</v>
      </c>
      <c r="Q118" s="44">
        <f t="shared" si="58"/>
        <v>1295719.9606912059</v>
      </c>
      <c r="R118" s="44">
        <f t="shared" si="58"/>
        <v>1275901.6082825242</v>
      </c>
      <c r="S118" s="44">
        <f t="shared" si="58"/>
        <v>1258426.59574499</v>
      </c>
      <c r="T118" s="44">
        <f t="shared" si="58"/>
        <v>1241405.1034752936</v>
      </c>
      <c r="U118" s="44">
        <f t="shared" si="58"/>
        <v>1226288.1635229338</v>
      </c>
      <c r="V118" s="44">
        <f t="shared" si="58"/>
        <v>1213217.5223851523</v>
      </c>
      <c r="W118" s="44">
        <f t="shared" si="58"/>
        <v>1201607.7455859513</v>
      </c>
      <c r="X118" s="44">
        <f t="shared" si="58"/>
        <v>1191229.3343424681</v>
      </c>
      <c r="Y118" s="44">
        <f t="shared" si="58"/>
        <v>1181072.2191617212</v>
      </c>
      <c r="Z118" s="44">
        <f t="shared" si="58"/>
        <v>1171926.2700606617</v>
      </c>
      <c r="AA118" s="44">
        <f t="shared" si="58"/>
        <v>1163419.4166814315</v>
      </c>
      <c r="AB118" s="44">
        <f t="shared" si="58"/>
        <v>1155216.1399135422</v>
      </c>
      <c r="AC118" s="44">
        <f t="shared" si="58"/>
        <v>1147658.3171571894</v>
      </c>
      <c r="AD118" s="341"/>
      <c r="AE118" s="346"/>
    </row>
    <row r="119" spans="1:33" ht="25.35" customHeight="1" x14ac:dyDescent="0.7">
      <c r="A119" s="116" t="s">
        <v>483</v>
      </c>
      <c r="B119" s="37">
        <v>7388.038727467545</v>
      </c>
      <c r="C119" s="43">
        <f>'Baseline Transportation'!C108</f>
        <v>5132.8781578417902</v>
      </c>
      <c r="D119" s="43">
        <f>'Baseline Transportation'!D108</f>
        <v>5424.4285259815197</v>
      </c>
      <c r="E119" s="43">
        <f>'Baseline Transportation'!E108</f>
        <v>5668.9312384204768</v>
      </c>
      <c r="F119" s="43">
        <f>'Baseline Transportation'!F108</f>
        <v>5775.014815577787</v>
      </c>
      <c r="G119" s="43">
        <f>'Baseline Transportation'!G108</f>
        <v>5729.3341537832457</v>
      </c>
      <c r="H119" s="43">
        <f>'Baseline Transportation'!H108</f>
        <v>5547.4096361104203</v>
      </c>
      <c r="I119" s="43">
        <f>'Baseline Transportation'!I108</f>
        <v>5249.6541732669202</v>
      </c>
      <c r="J119" s="43">
        <f>'Baseline Transportation'!J108</f>
        <v>4765.5433638909644</v>
      </c>
      <c r="K119" s="43">
        <f>'Baseline Transportation'!K108</f>
        <v>4167.3027051026029</v>
      </c>
      <c r="L119" s="43">
        <f>'Baseline Transportation'!L108</f>
        <v>3813.6503191949764</v>
      </c>
      <c r="M119" s="43">
        <f>'Baseline Transportation'!M108</f>
        <v>3395.2842929258586</v>
      </c>
      <c r="N119" s="43">
        <f>'Baseline Transportation'!N108</f>
        <v>2916.6257501437522</v>
      </c>
      <c r="O119" s="43">
        <f>'Baseline Transportation'!O108</f>
        <v>2422.8631905366328</v>
      </c>
      <c r="P119" s="43">
        <f>'Baseline Transportation'!P108</f>
        <v>1872.5483158620102</v>
      </c>
      <c r="Q119" s="43">
        <f>'Baseline Transportation'!Q108</f>
        <v>1277.352051848917</v>
      </c>
      <c r="R119" s="43">
        <f>'Baseline Transportation'!R108</f>
        <v>650.36244015431043</v>
      </c>
      <c r="S119" s="43">
        <f>'Baseline Transportation'!S108</f>
        <v>0</v>
      </c>
      <c r="T119" s="43">
        <f>'Baseline Transportation'!T108</f>
        <v>0</v>
      </c>
      <c r="U119" s="43">
        <f>'Baseline Transportation'!U108</f>
        <v>0</v>
      </c>
      <c r="V119" s="43">
        <f>'Baseline Transportation'!V108</f>
        <v>0</v>
      </c>
      <c r="W119" s="43">
        <f>'Baseline Transportation'!W108</f>
        <v>0</v>
      </c>
      <c r="X119" s="43">
        <f>'Baseline Transportation'!X108</f>
        <v>0</v>
      </c>
      <c r="Y119" s="43">
        <f>'Baseline Transportation'!Y108</f>
        <v>0</v>
      </c>
      <c r="Z119" s="43">
        <f>'Baseline Transportation'!Z108</f>
        <v>0</v>
      </c>
      <c r="AA119" s="43">
        <f>'Baseline Transportation'!AA108</f>
        <v>0</v>
      </c>
      <c r="AB119" s="43">
        <f>'Baseline Transportation'!AB108</f>
        <v>0</v>
      </c>
      <c r="AC119" s="43">
        <f>'Baseline Transportation'!AC108</f>
        <v>0</v>
      </c>
      <c r="AD119" s="341"/>
      <c r="AE119" s="346"/>
    </row>
    <row r="120" spans="1:33" ht="25.35" customHeight="1" x14ac:dyDescent="0.7">
      <c r="A120" s="116" t="s">
        <v>484</v>
      </c>
      <c r="B120" s="37">
        <v>197.99943789613022</v>
      </c>
      <c r="C120" s="43">
        <f>'Baseline Transportation'!C109</f>
        <v>140.36312542394182</v>
      </c>
      <c r="D120" s="43">
        <f>'Baseline Transportation'!D109</f>
        <v>148.33582994412862</v>
      </c>
      <c r="E120" s="43">
        <f>'Baseline Transportation'!E109</f>
        <v>155.02197441068526</v>
      </c>
      <c r="F120" s="43">
        <f>'Baseline Transportation'!F109</f>
        <v>157.92292432378679</v>
      </c>
      <c r="G120" s="43">
        <f>'Baseline Transportation'!G109</f>
        <v>156.67374593619539</v>
      </c>
      <c r="H120" s="43">
        <f>'Baseline Transportation'!H109</f>
        <v>151.69885794810068</v>
      </c>
      <c r="I120" s="43">
        <f>'Baseline Transportation'!I109</f>
        <v>143.55646958594656</v>
      </c>
      <c r="J120" s="43">
        <f>'Baseline Transportation'!J109</f>
        <v>130.3180282736956</v>
      </c>
      <c r="K120" s="43">
        <f>'Baseline Transportation'!K109</f>
        <v>113.95860456617487</v>
      </c>
      <c r="L120" s="43">
        <f>'Baseline Transportation'!L109</f>
        <v>104.28766505170559</v>
      </c>
      <c r="M120" s="43">
        <f>'Baseline Transportation'!M109</f>
        <v>92.84707339678512</v>
      </c>
      <c r="N120" s="43">
        <f>'Baseline Transportation'!N109</f>
        <v>79.75772917124138</v>
      </c>
      <c r="O120" s="43">
        <f>'Baseline Transportation'!O109</f>
        <v>66.255352151460031</v>
      </c>
      <c r="P120" s="43">
        <f>'Baseline Transportation'!P109</f>
        <v>51.206501701229698</v>
      </c>
      <c r="Q120" s="43">
        <f>'Baseline Transportation'!Q109</f>
        <v>34.930329680684636</v>
      </c>
      <c r="R120" s="43">
        <f>'Baseline Transportation'!R109</f>
        <v>17.784740247328127</v>
      </c>
      <c r="S120" s="43">
        <f>'Baseline Transportation'!S109</f>
        <v>0</v>
      </c>
      <c r="T120" s="43">
        <f>'Baseline Transportation'!T109</f>
        <v>0</v>
      </c>
      <c r="U120" s="43">
        <f>'Baseline Transportation'!U109</f>
        <v>0</v>
      </c>
      <c r="V120" s="43">
        <f>'Baseline Transportation'!V109</f>
        <v>0</v>
      </c>
      <c r="W120" s="43">
        <f>'Baseline Transportation'!W109</f>
        <v>0</v>
      </c>
      <c r="X120" s="43">
        <f>'Baseline Transportation'!X109</f>
        <v>0</v>
      </c>
      <c r="Y120" s="43">
        <f>'Baseline Transportation'!Y109</f>
        <v>0</v>
      </c>
      <c r="Z120" s="43">
        <f>'Baseline Transportation'!Z109</f>
        <v>0</v>
      </c>
      <c r="AA120" s="43">
        <f>'Baseline Transportation'!AA109</f>
        <v>0</v>
      </c>
      <c r="AB120" s="43">
        <f>'Baseline Transportation'!AB109</f>
        <v>0</v>
      </c>
      <c r="AC120" s="43">
        <f>'Baseline Transportation'!AC109</f>
        <v>0</v>
      </c>
      <c r="AD120" s="341"/>
      <c r="AE120" s="346"/>
    </row>
    <row r="121" spans="1:33" ht="24" x14ac:dyDescent="0.85">
      <c r="A121" s="248" t="s">
        <v>121</v>
      </c>
      <c r="B121" s="249"/>
      <c r="C121" s="249"/>
      <c r="D121" s="249"/>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c r="AA121" s="249"/>
      <c r="AB121" s="249"/>
      <c r="AC121" s="250"/>
      <c r="AD121" s="341"/>
      <c r="AE121" s="346"/>
    </row>
    <row r="122" spans="1:33" s="252" customFormat="1" ht="25.35" customHeight="1" x14ac:dyDescent="0.7">
      <c r="A122" s="116" t="s">
        <v>485</v>
      </c>
      <c r="B122" s="37">
        <v>79004.937282497689</v>
      </c>
      <c r="C122" s="10">
        <f>B122</f>
        <v>79004.937282497689</v>
      </c>
      <c r="D122" s="10">
        <f t="shared" ref="D122:AC122" si="59">C122</f>
        <v>79004.937282497689</v>
      </c>
      <c r="E122" s="10">
        <f t="shared" si="59"/>
        <v>79004.937282497689</v>
      </c>
      <c r="F122" s="10">
        <f t="shared" si="59"/>
        <v>79004.937282497689</v>
      </c>
      <c r="G122" s="10">
        <f>F122</f>
        <v>79004.937282497689</v>
      </c>
      <c r="H122" s="10">
        <f t="shared" si="59"/>
        <v>79004.937282497689</v>
      </c>
      <c r="I122" s="10">
        <f t="shared" si="59"/>
        <v>79004.937282497689</v>
      </c>
      <c r="J122" s="10">
        <f t="shared" si="59"/>
        <v>79004.937282497689</v>
      </c>
      <c r="K122" s="10">
        <f t="shared" si="59"/>
        <v>79004.937282497689</v>
      </c>
      <c r="L122" s="10">
        <f t="shared" si="59"/>
        <v>79004.937282497689</v>
      </c>
      <c r="M122" s="10">
        <f t="shared" si="59"/>
        <v>79004.937282497689</v>
      </c>
      <c r="N122" s="10">
        <f t="shared" si="59"/>
        <v>79004.937282497689</v>
      </c>
      <c r="O122" s="10">
        <f t="shared" si="59"/>
        <v>79004.937282497689</v>
      </c>
      <c r="P122" s="10">
        <f t="shared" si="59"/>
        <v>79004.937282497689</v>
      </c>
      <c r="Q122" s="10">
        <f t="shared" si="59"/>
        <v>79004.937282497689</v>
      </c>
      <c r="R122" s="10">
        <f t="shared" si="59"/>
        <v>79004.937282497689</v>
      </c>
      <c r="S122" s="10">
        <f t="shared" si="59"/>
        <v>79004.937282497689</v>
      </c>
      <c r="T122" s="10">
        <f t="shared" si="59"/>
        <v>79004.937282497689</v>
      </c>
      <c r="U122" s="10">
        <f t="shared" si="59"/>
        <v>79004.937282497689</v>
      </c>
      <c r="V122" s="10">
        <f t="shared" si="59"/>
        <v>79004.937282497689</v>
      </c>
      <c r="W122" s="10">
        <f t="shared" si="59"/>
        <v>79004.937282497689</v>
      </c>
      <c r="X122" s="10">
        <f t="shared" si="59"/>
        <v>79004.937282497689</v>
      </c>
      <c r="Y122" s="10">
        <f t="shared" si="59"/>
        <v>79004.937282497689</v>
      </c>
      <c r="Z122" s="10">
        <f t="shared" si="59"/>
        <v>79004.937282497689</v>
      </c>
      <c r="AA122" s="10">
        <f t="shared" si="59"/>
        <v>79004.937282497689</v>
      </c>
      <c r="AB122" s="10">
        <f t="shared" si="59"/>
        <v>79004.937282497689</v>
      </c>
      <c r="AC122" s="10">
        <f t="shared" si="59"/>
        <v>79004.937282497689</v>
      </c>
      <c r="AD122" s="341"/>
    </row>
    <row r="123" spans="1:33" ht="24" x14ac:dyDescent="0.85">
      <c r="A123" s="248" t="s">
        <v>58</v>
      </c>
      <c r="B123" s="249"/>
      <c r="C123" s="249"/>
      <c r="D123" s="249"/>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c r="AA123" s="249"/>
      <c r="AB123" s="249"/>
      <c r="AC123" s="250"/>
      <c r="AD123" s="341"/>
    </row>
    <row r="124" spans="1:33" ht="25.35" customHeight="1" x14ac:dyDescent="0.7">
      <c r="A124" s="117" t="s">
        <v>486</v>
      </c>
      <c r="B124" s="53">
        <v>0</v>
      </c>
      <c r="C124" s="10">
        <f>B124</f>
        <v>0</v>
      </c>
      <c r="D124" s="10">
        <f t="shared" ref="D124:AC124" si="60">C124</f>
        <v>0</v>
      </c>
      <c r="E124" s="10">
        <f t="shared" si="60"/>
        <v>0</v>
      </c>
      <c r="F124" s="10">
        <f t="shared" si="60"/>
        <v>0</v>
      </c>
      <c r="G124" s="10">
        <f>F124</f>
        <v>0</v>
      </c>
      <c r="H124" s="10">
        <f t="shared" si="60"/>
        <v>0</v>
      </c>
      <c r="I124" s="10">
        <f t="shared" si="60"/>
        <v>0</v>
      </c>
      <c r="J124" s="10">
        <f t="shared" si="60"/>
        <v>0</v>
      </c>
      <c r="K124" s="10">
        <f t="shared" si="60"/>
        <v>0</v>
      </c>
      <c r="L124" s="10">
        <f t="shared" si="60"/>
        <v>0</v>
      </c>
      <c r="M124" s="10">
        <f t="shared" si="60"/>
        <v>0</v>
      </c>
      <c r="N124" s="10">
        <f t="shared" si="60"/>
        <v>0</v>
      </c>
      <c r="O124" s="10">
        <f t="shared" si="60"/>
        <v>0</v>
      </c>
      <c r="P124" s="10">
        <f t="shared" si="60"/>
        <v>0</v>
      </c>
      <c r="Q124" s="10">
        <f t="shared" si="60"/>
        <v>0</v>
      </c>
      <c r="R124" s="10">
        <f t="shared" si="60"/>
        <v>0</v>
      </c>
      <c r="S124" s="10">
        <f t="shared" si="60"/>
        <v>0</v>
      </c>
      <c r="T124" s="10">
        <f t="shared" si="60"/>
        <v>0</v>
      </c>
      <c r="U124" s="10">
        <f t="shared" si="60"/>
        <v>0</v>
      </c>
      <c r="V124" s="10">
        <f t="shared" si="60"/>
        <v>0</v>
      </c>
      <c r="W124" s="10">
        <f t="shared" si="60"/>
        <v>0</v>
      </c>
      <c r="X124" s="10">
        <f t="shared" si="60"/>
        <v>0</v>
      </c>
      <c r="Y124" s="10">
        <f t="shared" si="60"/>
        <v>0</v>
      </c>
      <c r="Z124" s="10">
        <f t="shared" si="60"/>
        <v>0</v>
      </c>
      <c r="AA124" s="10">
        <f t="shared" si="60"/>
        <v>0</v>
      </c>
      <c r="AB124" s="10">
        <f t="shared" si="60"/>
        <v>0</v>
      </c>
      <c r="AC124" s="10">
        <f t="shared" si="60"/>
        <v>0</v>
      </c>
      <c r="AD124" s="341"/>
    </row>
    <row r="125" spans="1:33" x14ac:dyDescent="0.7">
      <c r="A125" s="117" t="s">
        <v>487</v>
      </c>
      <c r="B125" s="53">
        <v>84.719246758695647</v>
      </c>
      <c r="C125" s="10">
        <f>'Baseline Transportation'!C162</f>
        <v>85.879691765081347</v>
      </c>
      <c r="D125" s="10">
        <f>'Baseline Transportation'!D162</f>
        <v>85.57210694788148</v>
      </c>
      <c r="E125" s="10">
        <f>'Baseline Transportation'!E162</f>
        <v>85.310303585648384</v>
      </c>
      <c r="F125" s="10">
        <f>'Baseline Transportation'!F162</f>
        <v>85.058754455473363</v>
      </c>
      <c r="G125" s="10">
        <f>'Baseline Transportation'!G162</f>
        <v>84.816868677237849</v>
      </c>
      <c r="H125" s="10">
        <f>'Baseline Transportation'!H162</f>
        <v>84.584099913022996</v>
      </c>
      <c r="I125" s="10">
        <f>'Baseline Transportation'!I162</f>
        <v>84.359942247599903</v>
      </c>
      <c r="J125" s="10">
        <f>'Baseline Transportation'!J162</f>
        <v>84.157197370528664</v>
      </c>
      <c r="K125" s="10">
        <f>'Baseline Transportation'!K162</f>
        <v>83.9612484111246</v>
      </c>
      <c r="L125" s="10">
        <f>'Baseline Transportation'!L162</f>
        <v>83.771759307525087</v>
      </c>
      <c r="M125" s="10">
        <f>'Baseline Transportation'!M162</f>
        <v>83.588415796474735</v>
      </c>
      <c r="N125" s="10">
        <f>'Baseline Transportation'!N162</f>
        <v>83.410923674074937</v>
      </c>
      <c r="O125" s="10">
        <f>'Baseline Transportation'!O162</f>
        <v>83.320848013730654</v>
      </c>
      <c r="P125" s="10">
        <f>'Baseline Transportation'!P162</f>
        <v>83.232242822517165</v>
      </c>
      <c r="Q125" s="10">
        <f>'Baseline Transportation'!Q162</f>
        <v>83.145072384244216</v>
      </c>
      <c r="R125" s="10">
        <f>'Baseline Transportation'!R162</f>
        <v>83.059302130111561</v>
      </c>
      <c r="S125" s="10">
        <f>'Baseline Transportation'!S162</f>
        <v>82.974898593000844</v>
      </c>
      <c r="T125" s="10">
        <f>'Baseline Transportation'!T162</f>
        <v>82.887604788069027</v>
      </c>
      <c r="U125" s="10">
        <f>'Baseline Transportation'!U162</f>
        <v>82.801749217415775</v>
      </c>
      <c r="V125" s="10">
        <f>'Baseline Transportation'!V162</f>
        <v>82.717296627390965</v>
      </c>
      <c r="W125" s="10">
        <f>'Baseline Transportation'!W162</f>
        <v>82.634212907178778</v>
      </c>
      <c r="X125" s="10">
        <f>'Baseline Transportation'!X162</f>
        <v>82.552465042860192</v>
      </c>
      <c r="Y125" s="10">
        <f>'Baseline Transportation'!Y162</f>
        <v>82.473967852846386</v>
      </c>
      <c r="Z125" s="10">
        <f>'Baseline Transportation'!Z162</f>
        <v>82.396682974647476</v>
      </c>
      <c r="AA125" s="10">
        <f>'Baseline Transportation'!AA162</f>
        <v>82.320582539026319</v>
      </c>
      <c r="AB125" s="10">
        <f>'Baseline Transportation'!AB162</f>
        <v>82.245639524479259</v>
      </c>
      <c r="AC125" s="10">
        <f>'Baseline Transportation'!AC162</f>
        <v>82.171827725246104</v>
      </c>
      <c r="AD125" s="341"/>
      <c r="AE125" s="346"/>
    </row>
    <row r="126" spans="1:33" x14ac:dyDescent="0.7">
      <c r="A126" s="117" t="s">
        <v>488</v>
      </c>
      <c r="B126" s="53">
        <v>7991.9913102300034</v>
      </c>
      <c r="C126" s="10">
        <f>'Baseline Transportation'!C165</f>
        <v>7890.4219099551692</v>
      </c>
      <c r="D126" s="10">
        <f>'Baseline Transportation'!D165</f>
        <v>7711.6299856785354</v>
      </c>
      <c r="E126" s="10">
        <f>'Baseline Transportation'!E165</f>
        <v>7559.4497599382903</v>
      </c>
      <c r="F126" s="10">
        <f>'Baseline Transportation'!F165</f>
        <v>7413.2300815954595</v>
      </c>
      <c r="G126" s="10">
        <f>'Baseline Transportation'!G165</f>
        <v>7272.6274857339858</v>
      </c>
      <c r="H126" s="10">
        <f>'Baseline Transportation'!H165</f>
        <v>7137.3243987860196</v>
      </c>
      <c r="I126" s="10">
        <f>'Baseline Transportation'!I165</f>
        <v>7007.0267439563586</v>
      </c>
      <c r="J126" s="10">
        <f>'Baseline Transportation'!J165</f>
        <v>6889.1758466370611</v>
      </c>
      <c r="K126" s="10">
        <f>'Baseline Transportation'!K165</f>
        <v>6775.2752587251134</v>
      </c>
      <c r="L126" s="10">
        <f>'Baseline Transportation'!L165</f>
        <v>6665.1296352498248</v>
      </c>
      <c r="M126" s="10">
        <f>'Baseline Transportation'!M165</f>
        <v>6558.5563022656252</v>
      </c>
      <c r="N126" s="10">
        <f>'Baseline Transportation'!N165</f>
        <v>6455.3842458660265</v>
      </c>
      <c r="O126" s="10">
        <f>'Baseline Transportation'!O165</f>
        <v>6403.0253525043408</v>
      </c>
      <c r="P126" s="10">
        <f>'Baseline Transportation'!P165</f>
        <v>6351.5212087622058</v>
      </c>
      <c r="Q126" s="10">
        <f>'Baseline Transportation'!Q165</f>
        <v>6300.8510536461599</v>
      </c>
      <c r="R126" s="10">
        <f>'Baseline Transportation'!R165</f>
        <v>6250.9947931139413</v>
      </c>
      <c r="S126" s="10">
        <f>'Baseline Transportation'!S165</f>
        <v>6201.9329735054225</v>
      </c>
      <c r="T126" s="10">
        <f>'Baseline Transportation'!T165</f>
        <v>6151.1911082102706</v>
      </c>
      <c r="U126" s="10">
        <f>'Baseline Transportation'!U165</f>
        <v>6101.2852551623</v>
      </c>
      <c r="V126" s="10">
        <f>'Baseline Transportation'!V165</f>
        <v>6052.194922231889</v>
      </c>
      <c r="W126" s="10">
        <f>'Baseline Transportation'!W165</f>
        <v>6003.9002815925051</v>
      </c>
      <c r="X126" s="10">
        <f>'Baseline Transportation'!X165</f>
        <v>5956.3821430183007</v>
      </c>
      <c r="Y126" s="10">
        <f>'Baseline Transportation'!Y165</f>
        <v>5910.7535460652989</v>
      </c>
      <c r="Z126" s="10">
        <f>'Baseline Transportation'!Z165</f>
        <v>5865.8296378683272</v>
      </c>
      <c r="AA126" s="10">
        <f>'Baseline Transportation'!AA165</f>
        <v>5821.5942186858692</v>
      </c>
      <c r="AB126" s="10">
        <f>'Baseline Transportation'!AB165</f>
        <v>5778.0315815442082</v>
      </c>
      <c r="AC126" s="10">
        <f>'Baseline Transportation'!AC165</f>
        <v>5735.1264936424232</v>
      </c>
      <c r="AD126" s="341"/>
    </row>
    <row r="127" spans="1:33" x14ac:dyDescent="0.7">
      <c r="A127" s="117" t="s">
        <v>489</v>
      </c>
      <c r="B127" s="53">
        <v>2804.4645835193078</v>
      </c>
      <c r="C127" s="10">
        <f>'Baseline Transportation'!C163+'Baseline Transportation'!C164</f>
        <v>2487.9926491836577</v>
      </c>
      <c r="D127" s="10">
        <f>'Baseline Transportation'!D163+'Baseline Transportation'!D164</f>
        <v>2431.5744767003875</v>
      </c>
      <c r="E127" s="10">
        <f>'Baseline Transportation'!E163+'Baseline Transportation'!E164</f>
        <v>2383.5536823658967</v>
      </c>
      <c r="F127" s="10">
        <f>'Baseline Transportation'!F163+'Baseline Transportation'!F164</f>
        <v>2337.4137514569916</v>
      </c>
      <c r="G127" s="10">
        <f>'Baseline Transportation'!G163+'Baseline Transportation'!G164</f>
        <v>2293.0463028879249</v>
      </c>
      <c r="H127" s="10">
        <f>'Baseline Transportation'!H163+'Baseline Transportation'!H164</f>
        <v>2250.3511256430161</v>
      </c>
      <c r="I127" s="10">
        <f>'Baseline Transportation'!I163+'Baseline Transportation'!I164</f>
        <v>2209.2354231632366</v>
      </c>
      <c r="J127" s="10">
        <f>'Baseline Transportation'!J163+'Baseline Transportation'!J164</f>
        <v>2172.0473215240327</v>
      </c>
      <c r="K127" s="10">
        <f>'Baseline Transportation'!K163+'Baseline Transportation'!K164</f>
        <v>2136.1057484313947</v>
      </c>
      <c r="L127" s="10">
        <f>'Baseline Transportation'!L163+'Baseline Transportation'!L164</f>
        <v>2101.3490623637881</v>
      </c>
      <c r="M127" s="10">
        <f>'Baseline Transportation'!M163+'Baseline Transportation'!M164</f>
        <v>2067.7196201686443</v>
      </c>
      <c r="N127" s="10">
        <f>'Baseline Transportation'!N163+'Baseline Transportation'!N164</f>
        <v>2035.1634580435584</v>
      </c>
      <c r="O127" s="10">
        <f>'Baseline Transportation'!O163+'Baseline Transportation'!O164</f>
        <v>2018.6414977331913</v>
      </c>
      <c r="P127" s="10">
        <f>'Baseline Transportation'!P163+'Baseline Transportation'!P164</f>
        <v>2002.3892554856552</v>
      </c>
      <c r="Q127" s="10">
        <f>'Baseline Transportation'!Q163+'Baseline Transportation'!Q164</f>
        <v>1986.4001801252498</v>
      </c>
      <c r="R127" s="10">
        <f>'Baseline Transportation'!R163+'Baseline Transportation'!R164</f>
        <v>1970.6679309341425</v>
      </c>
      <c r="S127" s="10">
        <f>'Baseline Transportation'!S163+'Baseline Transportation'!S164</f>
        <v>1955.1863692684501</v>
      </c>
      <c r="T127" s="10">
        <f>'Baseline Transportation'!T163+'Baseline Transportation'!T164</f>
        <v>1939.1746656083042</v>
      </c>
      <c r="U127" s="10">
        <f>'Baseline Transportation'!U163+'Baseline Transportation'!U164</f>
        <v>1923.4267673932327</v>
      </c>
      <c r="V127" s="10">
        <f>'Baseline Transportation'!V163+'Baseline Transportation'!V164</f>
        <v>1907.9362082880923</v>
      </c>
      <c r="W127" s="10">
        <f>'Baseline Transportation'!W163+'Baseline Transportation'!W164</f>
        <v>1892.6967315799914</v>
      </c>
      <c r="X127" s="10">
        <f>'Baseline Transportation'!X163+'Baseline Transportation'!X164</f>
        <v>1877.7022817522943</v>
      </c>
      <c r="Y127" s="10">
        <f>'Baseline Transportation'!Y163+'Baseline Transportation'!Y164</f>
        <v>1863.3040808073733</v>
      </c>
      <c r="Z127" s="10">
        <f>'Baseline Transportation'!Z163+'Baseline Transportation'!Z164</f>
        <v>1849.1282459002121</v>
      </c>
      <c r="AA127" s="10">
        <f>'Baseline Transportation'!AA163+'Baseline Transportation'!AA164</f>
        <v>1835.1696651678728</v>
      </c>
      <c r="AB127" s="10">
        <f>'Baseline Transportation'!AB163+'Baseline Transportation'!AB164</f>
        <v>1821.4233822413487</v>
      </c>
      <c r="AC127" s="10">
        <f>'Baseline Transportation'!AC163+'Baseline Transportation'!AC164</f>
        <v>1807.8845903778661</v>
      </c>
      <c r="AD127" s="342"/>
    </row>
    <row r="128" spans="1:33" x14ac:dyDescent="0.7">
      <c r="A128" s="117" t="s">
        <v>490</v>
      </c>
      <c r="B128" s="53">
        <v>22.923267935026768</v>
      </c>
      <c r="C128" s="10">
        <f>'Baseline Transportation'!C159</f>
        <v>20.679315281405493</v>
      </c>
      <c r="D128" s="10">
        <f>'Baseline Transportation'!D159</f>
        <v>18.601498531022518</v>
      </c>
      <c r="E128" s="10">
        <f>'Baseline Transportation'!E159</f>
        <v>16.690498681545925</v>
      </c>
      <c r="F128" s="10">
        <f>'Baseline Transportation'!F159</f>
        <v>14.84334818800607</v>
      </c>
      <c r="G128" s="10">
        <f>'Baseline Transportation'!G159</f>
        <v>13.060047050402957</v>
      </c>
      <c r="H128" s="10">
        <f>'Baseline Transportation'!H159</f>
        <v>11.340595268736577</v>
      </c>
      <c r="I128" s="10">
        <f>'Baseline Transportation'!I159</f>
        <v>9.6849928430069365</v>
      </c>
      <c r="J128" s="10">
        <f>'Baseline Transportation'!J159</f>
        <v>8.1246393455640415</v>
      </c>
      <c r="K128" s="10">
        <f>'Baseline Transportation'!K159</f>
        <v>6.6174936447350889</v>
      </c>
      <c r="L128" s="10">
        <f>'Baseline Transportation'!L159</f>
        <v>5.6762122211305313</v>
      </c>
      <c r="M128" s="10">
        <f>'Baseline Transportation'!M159</f>
        <v>4.7675292883867346</v>
      </c>
      <c r="N128" s="10">
        <f>'Baseline Transportation'!N159</f>
        <v>3.8914448465037021</v>
      </c>
      <c r="O128" s="10">
        <f>'Baseline Transportation'!O159</f>
        <v>3.0903369336004265</v>
      </c>
      <c r="P128" s="10">
        <f>'Baseline Transportation'!P159</f>
        <v>2.3006384924984191</v>
      </c>
      <c r="Q128" s="10">
        <f>'Baseline Transportation'!Q159</f>
        <v>1.5223495231976789</v>
      </c>
      <c r="R128" s="10">
        <f>'Baseline Transportation'!R159</f>
        <v>0.75547002569820554</v>
      </c>
      <c r="S128" s="10">
        <f>'Baseline Transportation'!S159</f>
        <v>0</v>
      </c>
      <c r="T128" s="10">
        <f>'Baseline Transportation'!T159</f>
        <v>0</v>
      </c>
      <c r="U128" s="10">
        <f>'Baseline Transportation'!U159</f>
        <v>0</v>
      </c>
      <c r="V128" s="10">
        <f>'Baseline Transportation'!V159</f>
        <v>0</v>
      </c>
      <c r="W128" s="10">
        <f>'Baseline Transportation'!W159</f>
        <v>0</v>
      </c>
      <c r="X128" s="10">
        <f>'Baseline Transportation'!X159</f>
        <v>0</v>
      </c>
      <c r="Y128" s="10">
        <f>'Baseline Transportation'!Y159</f>
        <v>0</v>
      </c>
      <c r="Z128" s="10">
        <f>'Baseline Transportation'!Z159</f>
        <v>0</v>
      </c>
      <c r="AA128" s="10">
        <f>'Baseline Transportation'!AA159</f>
        <v>0</v>
      </c>
      <c r="AB128" s="10">
        <f>'Baseline Transportation'!AB159</f>
        <v>0</v>
      </c>
      <c r="AC128" s="10">
        <f>'Baseline Transportation'!AC159</f>
        <v>0</v>
      </c>
      <c r="AD128" s="342"/>
    </row>
    <row r="129" spans="1:31" x14ac:dyDescent="0.7">
      <c r="A129" s="117" t="s">
        <v>491</v>
      </c>
      <c r="B129" s="53">
        <v>0.6143435806587173</v>
      </c>
      <c r="C129" s="10">
        <f>'Baseline Transportation'!C160</f>
        <v>0.56549429681876795</v>
      </c>
      <c r="D129" s="10">
        <f>'Baseline Transportation'!D160</f>
        <v>0.50867454692924363</v>
      </c>
      <c r="E129" s="10">
        <f>'Baseline Transportation'!E160</f>
        <v>0.45641655378997131</v>
      </c>
      <c r="F129" s="10">
        <f>'Baseline Transportation'!F160</f>
        <v>0.40590457816367942</v>
      </c>
      <c r="G129" s="10">
        <f>'Baseline Transportation'!G160</f>
        <v>0.35713862005036795</v>
      </c>
      <c r="H129" s="10">
        <f>'Baseline Transportation'!H160</f>
        <v>0.31011867945003674</v>
      </c>
      <c r="I129" s="10">
        <f>'Baseline Transportation'!I160</f>
        <v>0.26484475636268601</v>
      </c>
      <c r="J129" s="10">
        <f>'Baseline Transportation'!J160</f>
        <v>0.22217550006392506</v>
      </c>
      <c r="K129" s="10">
        <f>'Baseline Transportation'!K160</f>
        <v>0.18096125835931426</v>
      </c>
      <c r="L129" s="10">
        <f>'Baseline Transportation'!L160</f>
        <v>0.15522107936854979</v>
      </c>
      <c r="M129" s="10">
        <f>'Baseline Transportation'!M160</f>
        <v>0.13037233514802818</v>
      </c>
      <c r="N129" s="10">
        <f>'Baseline Transportation'!N160</f>
        <v>0.10641502569774949</v>
      </c>
      <c r="O129" s="10">
        <f>'Baseline Transportation'!O160</f>
        <v>8.4508016219029536E-2</v>
      </c>
      <c r="P129" s="10">
        <f>'Baseline Transportation'!P160</f>
        <v>6.2913008909894624E-2</v>
      </c>
      <c r="Q129" s="10">
        <f>'Baseline Transportation'!Q160</f>
        <v>4.1630003770344731E-2</v>
      </c>
      <c r="R129" s="10">
        <f>'Baseline Transportation'!R160</f>
        <v>2.0659000800379846E-2</v>
      </c>
      <c r="S129" s="10">
        <f>'Baseline Transportation'!S160</f>
        <v>0</v>
      </c>
      <c r="T129" s="10">
        <f>'Baseline Transportation'!T160</f>
        <v>0</v>
      </c>
      <c r="U129" s="10">
        <f>'Baseline Transportation'!U160</f>
        <v>0</v>
      </c>
      <c r="V129" s="10">
        <f>'Baseline Transportation'!V160</f>
        <v>0</v>
      </c>
      <c r="W129" s="10">
        <f>'Baseline Transportation'!W160</f>
        <v>0</v>
      </c>
      <c r="X129" s="10">
        <f>'Baseline Transportation'!X160</f>
        <v>0</v>
      </c>
      <c r="Y129" s="10">
        <f>'Baseline Transportation'!Y160</f>
        <v>0</v>
      </c>
      <c r="Z129" s="10">
        <f>'Baseline Transportation'!Z160</f>
        <v>0</v>
      </c>
      <c r="AA129" s="10">
        <f>'Baseline Transportation'!AA160</f>
        <v>0</v>
      </c>
      <c r="AB129" s="10">
        <f>'Baseline Transportation'!AB160</f>
        <v>0</v>
      </c>
      <c r="AC129" s="10">
        <f>'Baseline Transportation'!AC160</f>
        <v>0</v>
      </c>
      <c r="AD129" s="342"/>
    </row>
    <row r="130" spans="1:31" ht="24" x14ac:dyDescent="0.85">
      <c r="A130" s="248" t="s">
        <v>94</v>
      </c>
      <c r="B130" s="249"/>
      <c r="C130" s="249"/>
      <c r="D130" s="249"/>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c r="AA130" s="249"/>
      <c r="AB130" s="249"/>
      <c r="AC130" s="250"/>
      <c r="AD130" s="342"/>
    </row>
    <row r="131" spans="1:31" ht="25.35" customHeight="1" x14ac:dyDescent="0.7">
      <c r="A131" s="116" t="s">
        <v>492</v>
      </c>
      <c r="B131" s="53">
        <v>263.88106699674921</v>
      </c>
      <c r="C131" s="10">
        <f>B131</f>
        <v>263.88106699674921</v>
      </c>
      <c r="D131" s="10">
        <f t="shared" ref="D131:AC131" si="61">C131</f>
        <v>263.88106699674921</v>
      </c>
      <c r="E131" s="10">
        <f t="shared" si="61"/>
        <v>263.88106699674921</v>
      </c>
      <c r="F131" s="10">
        <f t="shared" si="61"/>
        <v>263.88106699674921</v>
      </c>
      <c r="G131" s="10">
        <f>F131</f>
        <v>263.88106699674921</v>
      </c>
      <c r="H131" s="10">
        <f t="shared" si="61"/>
        <v>263.88106699674921</v>
      </c>
      <c r="I131" s="10">
        <f t="shared" si="61"/>
        <v>263.88106699674921</v>
      </c>
      <c r="J131" s="10">
        <f t="shared" si="61"/>
        <v>263.88106699674921</v>
      </c>
      <c r="K131" s="10">
        <f t="shared" si="61"/>
        <v>263.88106699674921</v>
      </c>
      <c r="L131" s="10">
        <f t="shared" si="61"/>
        <v>263.88106699674921</v>
      </c>
      <c r="M131" s="10">
        <f t="shared" si="61"/>
        <v>263.88106699674921</v>
      </c>
      <c r="N131" s="10">
        <f t="shared" si="61"/>
        <v>263.88106699674921</v>
      </c>
      <c r="O131" s="10">
        <f t="shared" si="61"/>
        <v>263.88106699674921</v>
      </c>
      <c r="P131" s="10">
        <f t="shared" si="61"/>
        <v>263.88106699674921</v>
      </c>
      <c r="Q131" s="10">
        <f t="shared" si="61"/>
        <v>263.88106699674921</v>
      </c>
      <c r="R131" s="10">
        <f t="shared" si="61"/>
        <v>263.88106699674921</v>
      </c>
      <c r="S131" s="10">
        <f t="shared" si="61"/>
        <v>263.88106699674921</v>
      </c>
      <c r="T131" s="10">
        <f t="shared" si="61"/>
        <v>263.88106699674921</v>
      </c>
      <c r="U131" s="10">
        <f t="shared" si="61"/>
        <v>263.88106699674921</v>
      </c>
      <c r="V131" s="10">
        <f t="shared" si="61"/>
        <v>263.88106699674921</v>
      </c>
      <c r="W131" s="10">
        <f t="shared" si="61"/>
        <v>263.88106699674921</v>
      </c>
      <c r="X131" s="10">
        <f t="shared" si="61"/>
        <v>263.88106699674921</v>
      </c>
      <c r="Y131" s="10">
        <f t="shared" si="61"/>
        <v>263.88106699674921</v>
      </c>
      <c r="Z131" s="10">
        <f t="shared" si="61"/>
        <v>263.88106699674921</v>
      </c>
      <c r="AA131" s="10">
        <f t="shared" si="61"/>
        <v>263.88106699674921</v>
      </c>
      <c r="AB131" s="10">
        <f t="shared" si="61"/>
        <v>263.88106699674921</v>
      </c>
      <c r="AC131" s="10">
        <f t="shared" si="61"/>
        <v>263.88106699674921</v>
      </c>
      <c r="AD131" s="342"/>
    </row>
    <row r="132" spans="1:31" ht="25.35" customHeight="1" x14ac:dyDescent="0.85">
      <c r="A132" s="248" t="s">
        <v>60</v>
      </c>
      <c r="B132" s="249"/>
      <c r="C132" s="249"/>
      <c r="D132" s="249"/>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c r="AA132" s="249"/>
      <c r="AB132" s="249"/>
      <c r="AC132" s="250"/>
      <c r="AD132" s="342"/>
    </row>
    <row r="133" spans="1:31" ht="25.35" customHeight="1" x14ac:dyDescent="0.7">
      <c r="A133" s="116" t="s">
        <v>493</v>
      </c>
      <c r="B133" s="53">
        <v>28249.864606659077</v>
      </c>
      <c r="C133" s="10">
        <f>B133*(1+'Forecast Parameters'!F$15)</f>
        <v>28330.710011592644</v>
      </c>
      <c r="D133" s="10">
        <f>C133*(1+'Forecast Parameters'!G$15)</f>
        <v>28411.555416526215</v>
      </c>
      <c r="E133" s="10">
        <f>D133*(1+'Forecast Parameters'!H$15)</f>
        <v>28469.873140587006</v>
      </c>
      <c r="F133" s="10">
        <f>E133*(1+'Forecast Parameters'!I$15)</f>
        <v>28528.1908646478</v>
      </c>
      <c r="G133" s="10">
        <f>F133*(1+'Forecast Parameters'!J$15)</f>
        <v>28586.508588708584</v>
      </c>
      <c r="H133" s="10">
        <f>G133*(1+'Forecast Parameters'!K$15)</f>
        <v>28644.826312769375</v>
      </c>
      <c r="I133" s="10">
        <f>H133*(1+'Forecast Parameters'!L$15)</f>
        <v>28703.144036830166</v>
      </c>
      <c r="J133" s="10">
        <f>I133*(1+'Forecast Parameters'!M$15)</f>
        <v>28734.827025881841</v>
      </c>
      <c r="K133" s="10">
        <f>J133*(1+'Forecast Parameters'!N$15)</f>
        <v>28766.510014933523</v>
      </c>
      <c r="L133" s="10">
        <f>K133*(1+'Forecast Parameters'!O$15)</f>
        <v>28798.193003985205</v>
      </c>
      <c r="M133" s="10">
        <f>L133*(1+'Forecast Parameters'!P$15)</f>
        <v>28829.875993036887</v>
      </c>
      <c r="N133" s="10">
        <f>M133*(1+'Forecast Parameters'!Q$15)</f>
        <v>28861.558982088565</v>
      </c>
      <c r="O133" s="10">
        <f>N133*(1+'Forecast Parameters'!R$15)</f>
        <v>28864.009768857417</v>
      </c>
      <c r="P133" s="10">
        <f>O133*(1+'Forecast Parameters'!S$15)</f>
        <v>28866.460555626269</v>
      </c>
      <c r="Q133" s="10">
        <f>P133*(1+'Forecast Parameters'!T$15)</f>
        <v>28868.911342395124</v>
      </c>
      <c r="R133" s="10">
        <f>Q133*(1+'Forecast Parameters'!U$15)</f>
        <v>28871.362129163972</v>
      </c>
      <c r="S133" s="10">
        <f>R133*(1+'Forecast Parameters'!V$15)</f>
        <v>28873.812915932824</v>
      </c>
      <c r="T133" s="10">
        <f>S133*(1+'Forecast Parameters'!W$15)</f>
        <v>28856.950769560604</v>
      </c>
      <c r="U133" s="10">
        <f>T133*(1+'Forecast Parameters'!X$15)</f>
        <v>28840.088623188389</v>
      </c>
      <c r="V133" s="10">
        <f>U133*(1+'Forecast Parameters'!Y$15)</f>
        <v>28823.226476816169</v>
      </c>
      <c r="W133" s="10">
        <f>V133*(1+'Forecast Parameters'!Z$15)</f>
        <v>28806.364330443954</v>
      </c>
      <c r="X133" s="10">
        <f>W133*(1+'Forecast Parameters'!AA$15)</f>
        <v>28789.502184071731</v>
      </c>
      <c r="Y133" s="10">
        <f>X133*(1+'Forecast Parameters'!AB$15)</f>
        <v>28753.877156451697</v>
      </c>
      <c r="Z133" s="10">
        <f>Y133*(1+'Forecast Parameters'!AC$15)</f>
        <v>28718.252128831668</v>
      </c>
      <c r="AA133" s="10">
        <f>Z133*(1+'Forecast Parameters'!AD$15)</f>
        <v>28682.627101211634</v>
      </c>
      <c r="AB133" s="10">
        <f>AA133*(1+'Forecast Parameters'!AE$15)</f>
        <v>28647.002073591604</v>
      </c>
      <c r="AC133" s="10">
        <f>AB133*(1+'Forecast Parameters'!AF$15)</f>
        <v>28611.377045971571</v>
      </c>
      <c r="AD133" s="345"/>
      <c r="AE133" s="343"/>
    </row>
    <row r="134" spans="1:31" ht="25.35" customHeight="1" x14ac:dyDescent="0.7">
      <c r="A134" s="116" t="s">
        <v>494</v>
      </c>
      <c r="B134" s="53">
        <v>253855.49369732151</v>
      </c>
      <c r="C134" s="10">
        <f>B134*(1+'Forecast Parameters'!F$15)</f>
        <v>254581.97683160644</v>
      </c>
      <c r="D134" s="10">
        <f>C134*(1+'Forecast Parameters'!G$15)</f>
        <v>255308.45996589141</v>
      </c>
      <c r="E134" s="10">
        <f>D134*(1+'Forecast Parameters'!H$15)</f>
        <v>255832.50759723003</v>
      </c>
      <c r="F134" s="10">
        <f>E134*(1+'Forecast Parameters'!I$15)</f>
        <v>256356.55522856867</v>
      </c>
      <c r="G134" s="10">
        <f>F134*(1+'Forecast Parameters'!J$15)</f>
        <v>256880.60285990723</v>
      </c>
      <c r="H134" s="10">
        <f>G134*(1+'Forecast Parameters'!K$15)</f>
        <v>257404.65049124585</v>
      </c>
      <c r="I134" s="10">
        <f>H134*(1+'Forecast Parameters'!L$15)</f>
        <v>257928.69812258446</v>
      </c>
      <c r="J134" s="10">
        <f>I134*(1+'Forecast Parameters'!M$15)</f>
        <v>258213.40394116117</v>
      </c>
      <c r="K134" s="10">
        <f>J134*(1+'Forecast Parameters'!N$15)</f>
        <v>258498.10975973794</v>
      </c>
      <c r="L134" s="10">
        <f>K134*(1+'Forecast Parameters'!O$15)</f>
        <v>258782.81557831468</v>
      </c>
      <c r="M134" s="10">
        <f>L134*(1+'Forecast Parameters'!P$15)</f>
        <v>259067.52139689145</v>
      </c>
      <c r="N134" s="10">
        <f>M134*(1+'Forecast Parameters'!Q$15)</f>
        <v>259352.22721546816</v>
      </c>
      <c r="O134" s="10">
        <f>N134*(1+'Forecast Parameters'!R$15)</f>
        <v>259374.25017712891</v>
      </c>
      <c r="P134" s="10">
        <f>O134*(1+'Forecast Parameters'!S$15)</f>
        <v>259396.27313878966</v>
      </c>
      <c r="Q134" s="10">
        <f>P134*(1+'Forecast Parameters'!T$15)</f>
        <v>259418.29610045042</v>
      </c>
      <c r="R134" s="10">
        <f>Q134*(1+'Forecast Parameters'!U$15)</f>
        <v>259440.31906211114</v>
      </c>
      <c r="S134" s="10">
        <f>R134*(1+'Forecast Parameters'!V$15)</f>
        <v>259462.34202377187</v>
      </c>
      <c r="T134" s="10">
        <f>S134*(1+'Forecast Parameters'!W$15)</f>
        <v>259310.8174571335</v>
      </c>
      <c r="U134" s="10">
        <f>T134*(1+'Forecast Parameters'!X$15)</f>
        <v>259159.29289049516</v>
      </c>
      <c r="V134" s="10">
        <f>U134*(1+'Forecast Parameters'!Y$15)</f>
        <v>259007.76832385678</v>
      </c>
      <c r="W134" s="10">
        <f>V134*(1+'Forecast Parameters'!Z$15)</f>
        <v>258856.24375721844</v>
      </c>
      <c r="X134" s="10">
        <f>W134*(1+'Forecast Parameters'!AA$15)</f>
        <v>258704.71919058007</v>
      </c>
      <c r="Y134" s="10">
        <f>X134*(1+'Forecast Parameters'!AB$15)</f>
        <v>258384.5899049929</v>
      </c>
      <c r="Z134" s="10">
        <f>Y134*(1+'Forecast Parameters'!AC$15)</f>
        <v>258064.46061940576</v>
      </c>
      <c r="AA134" s="10">
        <f>Z134*(1+'Forecast Parameters'!AD$15)</f>
        <v>257744.33133381858</v>
      </c>
      <c r="AB134" s="10">
        <f>AA134*(1+'Forecast Parameters'!AE$15)</f>
        <v>257424.20204823144</v>
      </c>
      <c r="AC134" s="10">
        <f>AB134*(1+'Forecast Parameters'!AF$15)</f>
        <v>257104.07276264427</v>
      </c>
      <c r="AD134" s="342"/>
    </row>
    <row r="135" spans="1:31" ht="24" x14ac:dyDescent="0.85">
      <c r="A135" s="201" t="s">
        <v>59</v>
      </c>
      <c r="B135" s="202"/>
      <c r="C135" s="202"/>
      <c r="D135" s="202"/>
      <c r="E135" s="202"/>
      <c r="F135" s="202"/>
      <c r="G135" s="202"/>
      <c r="H135" s="202"/>
      <c r="I135" s="202"/>
      <c r="J135" s="202"/>
      <c r="K135" s="202"/>
      <c r="L135" s="202"/>
      <c r="M135" s="202"/>
      <c r="N135" s="202"/>
      <c r="O135" s="202"/>
      <c r="P135" s="202"/>
      <c r="Q135" s="202"/>
      <c r="R135" s="202"/>
      <c r="S135" s="202"/>
      <c r="T135" s="202"/>
      <c r="U135" s="202"/>
      <c r="V135" s="202"/>
      <c r="W135" s="202"/>
      <c r="X135" s="202"/>
      <c r="Y135" s="202"/>
      <c r="Z135" s="202"/>
      <c r="AA135" s="202"/>
      <c r="AB135" s="202"/>
      <c r="AC135" s="203"/>
      <c r="AD135" s="342"/>
    </row>
    <row r="136" spans="1:31" ht="25.35" customHeight="1" x14ac:dyDescent="0.7">
      <c r="A136" s="115"/>
      <c r="B136" s="11">
        <v>2023</v>
      </c>
      <c r="C136" s="11">
        <v>2024</v>
      </c>
      <c r="D136" s="11">
        <v>2025</v>
      </c>
      <c r="E136" s="11">
        <v>2026</v>
      </c>
      <c r="F136" s="11">
        <v>2027</v>
      </c>
      <c r="G136" s="11">
        <v>2028</v>
      </c>
      <c r="H136" s="11">
        <v>2029</v>
      </c>
      <c r="I136" s="11">
        <v>2030</v>
      </c>
      <c r="J136" s="11">
        <v>2031</v>
      </c>
      <c r="K136" s="11">
        <v>2032</v>
      </c>
      <c r="L136" s="11">
        <v>2033</v>
      </c>
      <c r="M136" s="11">
        <v>2034</v>
      </c>
      <c r="N136" s="11">
        <v>2035</v>
      </c>
      <c r="O136" s="11">
        <v>2036</v>
      </c>
      <c r="P136" s="11">
        <v>2037</v>
      </c>
      <c r="Q136" s="11">
        <v>2038</v>
      </c>
      <c r="R136" s="11">
        <v>2039</v>
      </c>
      <c r="S136" s="11">
        <v>2040</v>
      </c>
      <c r="T136" s="11">
        <v>2041</v>
      </c>
      <c r="U136" s="11">
        <v>2042</v>
      </c>
      <c r="V136" s="11">
        <v>2043</v>
      </c>
      <c r="W136" s="11">
        <v>2044</v>
      </c>
      <c r="X136" s="11">
        <v>2045</v>
      </c>
      <c r="Y136" s="11">
        <v>2046</v>
      </c>
      <c r="Z136" s="11">
        <v>2047</v>
      </c>
      <c r="AA136" s="11">
        <v>2048</v>
      </c>
      <c r="AB136" s="11">
        <v>2049</v>
      </c>
      <c r="AC136" s="11">
        <v>2050</v>
      </c>
      <c r="AD136" s="342"/>
    </row>
    <row r="137" spans="1:31" ht="24" x14ac:dyDescent="0.85">
      <c r="A137" s="248" t="s">
        <v>148</v>
      </c>
      <c r="B137" s="249"/>
      <c r="C137" s="249"/>
      <c r="D137" s="249"/>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c r="AA137" s="249"/>
      <c r="AB137" s="249"/>
      <c r="AC137" s="250"/>
      <c r="AD137" s="342"/>
    </row>
    <row r="138" spans="1:31" ht="25.35" customHeight="1" x14ac:dyDescent="0.7">
      <c r="A138" s="116" t="s">
        <v>495</v>
      </c>
      <c r="B138" s="37">
        <v>134803.68007652636</v>
      </c>
      <c r="C138" s="10">
        <f>B138*(1+'Forecast Parameters'!F$15)</f>
        <v>135189.46097332233</v>
      </c>
      <c r="D138" s="10">
        <f>C138*(1+'Forecast Parameters'!G$15)</f>
        <v>135575.24187011833</v>
      </c>
      <c r="E138" s="10">
        <f>D138*(1+'Forecast Parameters'!H$15)</f>
        <v>135853.52440090358</v>
      </c>
      <c r="F138" s="10">
        <f>E138*(1+'Forecast Parameters'!I$15)</f>
        <v>136131.80693168886</v>
      </c>
      <c r="G138" s="10">
        <f>F138*(1+'Forecast Parameters'!J$15)</f>
        <v>136410.08946247408</v>
      </c>
      <c r="H138" s="10">
        <f>G138*(1+'Forecast Parameters'!K$15)</f>
        <v>136688.37199325935</v>
      </c>
      <c r="I138" s="10">
        <f>H138*(1+'Forecast Parameters'!L$15)</f>
        <v>136966.65452404463</v>
      </c>
      <c r="J138" s="10">
        <f>I138*(1+'Forecast Parameters'!M$15)</f>
        <v>137117.84050597614</v>
      </c>
      <c r="K138" s="10">
        <f>J138*(1+'Forecast Parameters'!N$15)</f>
        <v>137269.02648790769</v>
      </c>
      <c r="L138" s="10">
        <f>K138*(1+'Forecast Parameters'!O$15)</f>
        <v>137420.21246983923</v>
      </c>
      <c r="M138" s="10">
        <f>L138*(1+'Forecast Parameters'!P$15)</f>
        <v>137571.39845177077</v>
      </c>
      <c r="N138" s="10">
        <f>M138*(1+'Forecast Parameters'!Q$15)</f>
        <v>137722.58443370229</v>
      </c>
      <c r="O138" s="10">
        <f>N138*(1+'Forecast Parameters'!R$15)</f>
        <v>137734.27918269043</v>
      </c>
      <c r="P138" s="10">
        <f>O138*(1+'Forecast Parameters'!S$15)</f>
        <v>137745.97393167857</v>
      </c>
      <c r="Q138" s="10">
        <f>P138*(1+'Forecast Parameters'!T$15)</f>
        <v>137757.66868066674</v>
      </c>
      <c r="R138" s="10">
        <f>Q138*(1+'Forecast Parameters'!U$15)</f>
        <v>137769.36342965488</v>
      </c>
      <c r="S138" s="10">
        <f>R138*(1+'Forecast Parameters'!V$15)</f>
        <v>137781.05817864303</v>
      </c>
      <c r="T138" s="10">
        <f>S138*(1+'Forecast Parameters'!W$15)</f>
        <v>137700.59480592908</v>
      </c>
      <c r="U138" s="10">
        <f>T138*(1+'Forecast Parameters'!X$15)</f>
        <v>137620.13143321514</v>
      </c>
      <c r="V138" s="10">
        <f>U138*(1+'Forecast Parameters'!Y$15)</f>
        <v>137539.66806050119</v>
      </c>
      <c r="W138" s="10">
        <f>V138*(1+'Forecast Parameters'!Z$15)</f>
        <v>137459.20468778725</v>
      </c>
      <c r="X138" s="10">
        <f>W138*(1+'Forecast Parameters'!AA$15)</f>
        <v>137378.74131507328</v>
      </c>
      <c r="Y138" s="10">
        <f>X138*(1+'Forecast Parameters'!AB$15)</f>
        <v>137208.74457728799</v>
      </c>
      <c r="Z138" s="10">
        <f>Y138*(1+'Forecast Parameters'!AC$15)</f>
        <v>137038.7478395027</v>
      </c>
      <c r="AA138" s="10">
        <f>Z138*(1+'Forecast Parameters'!AD$15)</f>
        <v>136868.75110171741</v>
      </c>
      <c r="AB138" s="10">
        <f>AA138*(1+'Forecast Parameters'!AE$15)</f>
        <v>136698.75436393215</v>
      </c>
      <c r="AC138" s="10">
        <f>AB138*(1+'Forecast Parameters'!AF$15)</f>
        <v>136528.75762614686</v>
      </c>
      <c r="AD138" s="342"/>
    </row>
    <row r="139" spans="1:31" ht="25.35" customHeight="1" x14ac:dyDescent="0.7">
      <c r="A139" s="116" t="s">
        <v>496</v>
      </c>
      <c r="B139" s="37">
        <v>0</v>
      </c>
      <c r="C139" s="10">
        <f>B139*(1+'Forecast Parameters'!J71+'Forecast Parameters'!D39)</f>
        <v>0</v>
      </c>
      <c r="D139" s="10">
        <f>C139*(1+'Forecast Parameters'!K71+'Forecast Parameters'!E39)</f>
        <v>0</v>
      </c>
      <c r="E139" s="10">
        <f>D139*(1+'Forecast Parameters'!L71+'Forecast Parameters'!F39)</f>
        <v>0</v>
      </c>
      <c r="F139" s="10">
        <f>E139*(1+'Forecast Parameters'!M71+'Forecast Parameters'!G39)</f>
        <v>0</v>
      </c>
      <c r="G139" s="10">
        <f>F139*(1+'Forecast Parameters'!N71+'Forecast Parameters'!H39)</f>
        <v>0</v>
      </c>
      <c r="H139" s="10">
        <f>G139*(1+'Forecast Parameters'!O71+'Forecast Parameters'!I39)</f>
        <v>0</v>
      </c>
      <c r="I139" s="10">
        <f>H139*(1+'Forecast Parameters'!P71+'Forecast Parameters'!J39)</f>
        <v>0</v>
      </c>
      <c r="J139" s="10">
        <f>I139*(1+'Forecast Parameters'!Q71+'Forecast Parameters'!K39)</f>
        <v>0</v>
      </c>
      <c r="K139" s="10">
        <f>J139*(1+'Forecast Parameters'!R71+'Forecast Parameters'!L39)</f>
        <v>0</v>
      </c>
      <c r="L139" s="10">
        <f>K139*(1+'Forecast Parameters'!S71+'Forecast Parameters'!M39)</f>
        <v>0</v>
      </c>
      <c r="M139" s="10">
        <f>L139*(1+'Forecast Parameters'!T71+'Forecast Parameters'!N39)</f>
        <v>0</v>
      </c>
      <c r="N139" s="10">
        <f>M139*(1+'Forecast Parameters'!U71+'Forecast Parameters'!O39)</f>
        <v>0</v>
      </c>
      <c r="O139" s="10">
        <f>N139*(1+'Forecast Parameters'!V71+'Forecast Parameters'!P39)</f>
        <v>0</v>
      </c>
      <c r="P139" s="10">
        <f>O139*(1+'Forecast Parameters'!W71+'Forecast Parameters'!Q39)</f>
        <v>0</v>
      </c>
      <c r="Q139" s="10">
        <f>P139*(1+'Forecast Parameters'!X71+'Forecast Parameters'!R39)</f>
        <v>0</v>
      </c>
      <c r="R139" s="10">
        <f>Q139*(1+'Forecast Parameters'!Y71+'Forecast Parameters'!S39)</f>
        <v>0</v>
      </c>
      <c r="S139" s="10">
        <f>R139*(1+'Forecast Parameters'!Z71+'Forecast Parameters'!T39)</f>
        <v>0</v>
      </c>
      <c r="T139" s="10">
        <f>S139*(1+'Forecast Parameters'!AA71+'Forecast Parameters'!U39)</f>
        <v>0</v>
      </c>
      <c r="U139" s="10">
        <f>T139*(1+'Forecast Parameters'!AB71+'Forecast Parameters'!V39)</f>
        <v>0</v>
      </c>
      <c r="V139" s="10">
        <f>U139*(1+'Forecast Parameters'!AC71+'Forecast Parameters'!W39)</f>
        <v>0</v>
      </c>
      <c r="W139" s="10">
        <f>V139*(1+'Forecast Parameters'!AD71+'Forecast Parameters'!X39)</f>
        <v>0</v>
      </c>
      <c r="X139" s="10">
        <f>W139*(1+'Forecast Parameters'!AE71+'Forecast Parameters'!Y39)</f>
        <v>0</v>
      </c>
      <c r="Y139" s="10">
        <f>X139*(1+'Forecast Parameters'!AF71+'Forecast Parameters'!Z39)</f>
        <v>0</v>
      </c>
      <c r="Z139" s="10">
        <f>Y139*(1+'Forecast Parameters'!AG71+'Forecast Parameters'!AA39)</f>
        <v>0</v>
      </c>
      <c r="AA139" s="10">
        <f>Z139*(1+'Forecast Parameters'!AH71+'Forecast Parameters'!AB39)</f>
        <v>0</v>
      </c>
      <c r="AB139" s="10">
        <f>AA139*(1+'Forecast Parameters'!AI71+'Forecast Parameters'!AC39)</f>
        <v>0</v>
      </c>
      <c r="AC139" s="10">
        <f>AB139*(1+'Forecast Parameters'!AJ71+'Forecast Parameters'!AD39)</f>
        <v>0</v>
      </c>
      <c r="AD139" s="342"/>
    </row>
    <row r="140" spans="1:31" ht="25.35" customHeight="1" x14ac:dyDescent="0.7">
      <c r="A140" s="116" t="s">
        <v>497</v>
      </c>
      <c r="B140" s="37">
        <v>416.3541744966443</v>
      </c>
      <c r="C140" s="10">
        <f>B140*(1+'Forecast Parameters'!F$15)</f>
        <v>417.54569602432724</v>
      </c>
      <c r="D140" s="10">
        <f>C140*(1+'Forecast Parameters'!G$15)</f>
        <v>418.73721755201024</v>
      </c>
      <c r="E140" s="10">
        <f>D140*(1+'Forecast Parameters'!H$15)</f>
        <v>419.59672000265664</v>
      </c>
      <c r="F140" s="10">
        <f>E140*(1+'Forecast Parameters'!I$15)</f>
        <v>420.4562224533031</v>
      </c>
      <c r="G140" s="10">
        <f>F140*(1+'Forecast Parameters'!J$15)</f>
        <v>421.31572490394944</v>
      </c>
      <c r="H140" s="10">
        <f>G140*(1+'Forecast Parameters'!K$15)</f>
        <v>422.1752273545959</v>
      </c>
      <c r="I140" s="10">
        <f>H140*(1+'Forecast Parameters'!L$15)</f>
        <v>423.03472980524236</v>
      </c>
      <c r="J140" s="10">
        <f>I140*(1+'Forecast Parameters'!M$15)</f>
        <v>423.50168229991334</v>
      </c>
      <c r="K140" s="10">
        <f>J140*(1+'Forecast Parameters'!N$15)</f>
        <v>423.96863479458443</v>
      </c>
      <c r="L140" s="10">
        <f>K140*(1+'Forecast Parameters'!O$15)</f>
        <v>424.43558728925547</v>
      </c>
      <c r="M140" s="10">
        <f>L140*(1+'Forecast Parameters'!P$15)</f>
        <v>424.90253978392656</v>
      </c>
      <c r="N140" s="10">
        <f>M140*(1+'Forecast Parameters'!Q$15)</f>
        <v>425.36949227859753</v>
      </c>
      <c r="O140" s="10">
        <f>N140*(1+'Forecast Parameters'!R$15)</f>
        <v>425.40561263939287</v>
      </c>
      <c r="P140" s="10">
        <f>O140*(1+'Forecast Parameters'!S$15)</f>
        <v>425.44173300018821</v>
      </c>
      <c r="Q140" s="10">
        <f>P140*(1+'Forecast Parameters'!T$15)</f>
        <v>425.4778533609836</v>
      </c>
      <c r="R140" s="10">
        <f>Q140*(1+'Forecast Parameters'!U$15)</f>
        <v>425.51397372177894</v>
      </c>
      <c r="S140" s="10">
        <f>R140*(1+'Forecast Parameters'!V$15)</f>
        <v>425.55009408257428</v>
      </c>
      <c r="T140" s="10">
        <f>S140*(1+'Forecast Parameters'!W$15)</f>
        <v>425.30157519121673</v>
      </c>
      <c r="U140" s="10">
        <f>T140*(1+'Forecast Parameters'!X$15)</f>
        <v>425.05305629985924</v>
      </c>
      <c r="V140" s="10">
        <f>U140*(1+'Forecast Parameters'!Y$15)</f>
        <v>424.80453740850169</v>
      </c>
      <c r="W140" s="10">
        <f>V140*(1+'Forecast Parameters'!Z$15)</f>
        <v>424.5560185171442</v>
      </c>
      <c r="X140" s="10">
        <f>W140*(1+'Forecast Parameters'!AA$15)</f>
        <v>424.30749962578665</v>
      </c>
      <c r="Y140" s="10">
        <f>X140*(1+'Forecast Parameters'!AB$15)</f>
        <v>423.78244829641983</v>
      </c>
      <c r="Z140" s="10">
        <f>Y140*(1+'Forecast Parameters'!AC$15)</f>
        <v>423.25739696705307</v>
      </c>
      <c r="AA140" s="10">
        <f>Z140*(1+'Forecast Parameters'!AD$15)</f>
        <v>422.73234563768625</v>
      </c>
      <c r="AB140" s="10">
        <f>AA140*(1+'Forecast Parameters'!AE$15)</f>
        <v>422.20729430831949</v>
      </c>
      <c r="AC140" s="10">
        <f>AB140*(1+'Forecast Parameters'!AF$15)</f>
        <v>421.68224297895267</v>
      </c>
      <c r="AD140" s="342"/>
    </row>
    <row r="141" spans="1:31" ht="25.35" customHeight="1" x14ac:dyDescent="0.7">
      <c r="A141" s="116" t="s">
        <v>498</v>
      </c>
      <c r="B141" s="37">
        <v>1692.1514559397194</v>
      </c>
      <c r="C141" s="10">
        <f>B141*(1+'Forecast Parameters'!F$15)</f>
        <v>1696.9940515262529</v>
      </c>
      <c r="D141" s="10">
        <f>C141*(1+'Forecast Parameters'!G$15)</f>
        <v>1701.8366471127863</v>
      </c>
      <c r="E141" s="10">
        <f>D141*(1+'Forecast Parameters'!H$15)</f>
        <v>1705.329846922788</v>
      </c>
      <c r="F141" s="10">
        <f>E141*(1+'Forecast Parameters'!I$15)</f>
        <v>1708.8230467327899</v>
      </c>
      <c r="G141" s="10">
        <f>F141*(1+'Forecast Parameters'!J$15)</f>
        <v>1712.3162465427913</v>
      </c>
      <c r="H141" s="10">
        <f>G141*(1+'Forecast Parameters'!K$15)</f>
        <v>1715.8094463527932</v>
      </c>
      <c r="I141" s="10">
        <f>H141*(1+'Forecast Parameters'!L$15)</f>
        <v>1719.3026461627951</v>
      </c>
      <c r="J141" s="10">
        <f>I141*(1+'Forecast Parameters'!M$15)</f>
        <v>1721.200439897342</v>
      </c>
      <c r="K141" s="10">
        <f>J141*(1+'Forecast Parameters'!N$15)</f>
        <v>1723.0982336318893</v>
      </c>
      <c r="L141" s="10">
        <f>K141*(1+'Forecast Parameters'!O$15)</f>
        <v>1724.9960273664365</v>
      </c>
      <c r="M141" s="10">
        <f>L141*(1+'Forecast Parameters'!P$15)</f>
        <v>1726.8938211009838</v>
      </c>
      <c r="N141" s="10">
        <f>M141*(1+'Forecast Parameters'!Q$15)</f>
        <v>1728.7916148355307</v>
      </c>
      <c r="O141" s="10">
        <f>N141*(1+'Forecast Parameters'!R$15)</f>
        <v>1728.9384156240249</v>
      </c>
      <c r="P141" s="10">
        <f>O141*(1+'Forecast Parameters'!S$15)</f>
        <v>1729.085216412519</v>
      </c>
      <c r="Q141" s="10">
        <f>P141*(1+'Forecast Parameters'!T$15)</f>
        <v>1729.2320172010134</v>
      </c>
      <c r="R141" s="10">
        <f>Q141*(1+'Forecast Parameters'!U$15)</f>
        <v>1729.3788179895073</v>
      </c>
      <c r="S141" s="10">
        <f>R141*(1+'Forecast Parameters'!V$15)</f>
        <v>1729.5256187780014</v>
      </c>
      <c r="T141" s="10">
        <f>S141*(1+'Forecast Parameters'!W$15)</f>
        <v>1728.5155854227514</v>
      </c>
      <c r="U141" s="10">
        <f>T141*(1+'Forecast Parameters'!X$15)</f>
        <v>1727.5055520675016</v>
      </c>
      <c r="V141" s="10">
        <f>U141*(1+'Forecast Parameters'!Y$15)</f>
        <v>1726.4955187122516</v>
      </c>
      <c r="W141" s="10">
        <f>V141*(1+'Forecast Parameters'!Z$15)</f>
        <v>1725.4854853570018</v>
      </c>
      <c r="X141" s="10">
        <f>W141*(1+'Forecast Parameters'!AA$15)</f>
        <v>1724.4754520017518</v>
      </c>
      <c r="Y141" s="10">
        <f>X141*(1+'Forecast Parameters'!AB$15)</f>
        <v>1722.3415323106492</v>
      </c>
      <c r="Z141" s="10">
        <f>Y141*(1+'Forecast Parameters'!AC$15)</f>
        <v>1720.2076126195468</v>
      </c>
      <c r="AA141" s="10">
        <f>Z141*(1+'Forecast Parameters'!AD$15)</f>
        <v>1718.0736929284442</v>
      </c>
      <c r="AB141" s="10">
        <f>AA141*(1+'Forecast Parameters'!AE$15)</f>
        <v>1715.9397732373418</v>
      </c>
      <c r="AC141" s="10">
        <f>AB141*(1+'Forecast Parameters'!AF$15)</f>
        <v>1713.8058535462392</v>
      </c>
      <c r="AD141" s="342"/>
    </row>
    <row r="142" spans="1:31" ht="24" x14ac:dyDescent="0.85">
      <c r="A142" s="201" t="s">
        <v>93</v>
      </c>
      <c r="B142" s="202"/>
      <c r="C142" s="202"/>
      <c r="D142" s="202"/>
      <c r="E142" s="202"/>
      <c r="F142" s="202"/>
      <c r="G142" s="202"/>
      <c r="H142" s="202"/>
      <c r="I142" s="202"/>
      <c r="J142" s="202"/>
      <c r="K142" s="202"/>
      <c r="L142" s="202"/>
      <c r="M142" s="202"/>
      <c r="N142" s="202"/>
      <c r="O142" s="202"/>
      <c r="P142" s="202"/>
      <c r="Q142" s="202"/>
      <c r="R142" s="202"/>
      <c r="S142" s="202"/>
      <c r="T142" s="202"/>
      <c r="U142" s="202"/>
      <c r="V142" s="202"/>
      <c r="W142" s="202"/>
      <c r="X142" s="202"/>
      <c r="Y142" s="202"/>
      <c r="Z142" s="202"/>
      <c r="AA142" s="202"/>
      <c r="AB142" s="202"/>
      <c r="AC142" s="203"/>
      <c r="AD142" s="342"/>
    </row>
    <row r="143" spans="1:31" ht="25.35" customHeight="1" x14ac:dyDescent="0.7">
      <c r="A143" s="115"/>
      <c r="B143" s="11">
        <v>2023</v>
      </c>
      <c r="C143" s="11">
        <v>2024</v>
      </c>
      <c r="D143" s="11">
        <v>2025</v>
      </c>
      <c r="E143" s="11">
        <v>2026</v>
      </c>
      <c r="F143" s="11">
        <v>2027</v>
      </c>
      <c r="G143" s="11">
        <v>2028</v>
      </c>
      <c r="H143" s="11">
        <v>2029</v>
      </c>
      <c r="I143" s="11">
        <v>2030</v>
      </c>
      <c r="J143" s="11">
        <v>2031</v>
      </c>
      <c r="K143" s="11">
        <v>2032</v>
      </c>
      <c r="L143" s="11">
        <v>2033</v>
      </c>
      <c r="M143" s="11">
        <v>2034</v>
      </c>
      <c r="N143" s="11">
        <v>2035</v>
      </c>
      <c r="O143" s="11">
        <v>2036</v>
      </c>
      <c r="P143" s="11">
        <v>2037</v>
      </c>
      <c r="Q143" s="11">
        <v>2038</v>
      </c>
      <c r="R143" s="11">
        <v>2039</v>
      </c>
      <c r="S143" s="11">
        <v>2040</v>
      </c>
      <c r="T143" s="11">
        <v>2041</v>
      </c>
      <c r="U143" s="11">
        <v>2042</v>
      </c>
      <c r="V143" s="11">
        <v>2043</v>
      </c>
      <c r="W143" s="11">
        <v>2044</v>
      </c>
      <c r="X143" s="11">
        <v>2045</v>
      </c>
      <c r="Y143" s="11">
        <v>2046</v>
      </c>
      <c r="Z143" s="11">
        <v>2047</v>
      </c>
      <c r="AA143" s="11">
        <v>2048</v>
      </c>
      <c r="AB143" s="11">
        <v>2049</v>
      </c>
      <c r="AC143" s="11">
        <v>2050</v>
      </c>
      <c r="AD143" s="342"/>
    </row>
    <row r="144" spans="1:31" ht="25.35" customHeight="1" x14ac:dyDescent="0.7">
      <c r="A144" s="116" t="s">
        <v>478</v>
      </c>
      <c r="B144" s="53">
        <v>84669.168397378235</v>
      </c>
      <c r="C144" s="10">
        <f>'Baseline Building Energy'!C154</f>
        <v>85564.787098418761</v>
      </c>
      <c r="D144" s="10">
        <f>'Baseline Building Energy'!D154</f>
        <v>81528.068803849907</v>
      </c>
      <c r="E144" s="10">
        <f>'Baseline Building Energy'!E154</f>
        <v>77688.683744192182</v>
      </c>
      <c r="F144" s="10">
        <f>'Baseline Building Energy'!F154</f>
        <v>73849.298655277191</v>
      </c>
      <c r="G144" s="10">
        <f>'Baseline Building Energy'!G154</f>
        <v>70009.91359561948</v>
      </c>
      <c r="H144" s="10">
        <f>'Baseline Building Energy'!H154</f>
        <v>66170.528535961756</v>
      </c>
      <c r="I144" s="10">
        <f>'Baseline Building Energy'!I154</f>
        <v>62331.143476304045</v>
      </c>
      <c r="J144" s="10">
        <f>'Baseline Building Energy'!J154</f>
        <v>58491.758387389062</v>
      </c>
      <c r="K144" s="10">
        <f>'Baseline Building Energy'!K154</f>
        <v>54652.373327731337</v>
      </c>
      <c r="L144" s="10">
        <f>'Baseline Building Energy'!L154</f>
        <v>50812.988268073619</v>
      </c>
      <c r="M144" s="10">
        <f>'Baseline Building Energy'!M154</f>
        <v>46973.603208415909</v>
      </c>
      <c r="N144" s="10">
        <f>'Baseline Building Energy'!N154</f>
        <v>43134.218148758191</v>
      </c>
      <c r="O144" s="10">
        <f>'Baseline Building Energy'!O154</f>
        <v>39294.833059843215</v>
      </c>
      <c r="P144" s="10">
        <f>'Baseline Building Energy'!P154</f>
        <v>35455.44800018549</v>
      </c>
      <c r="Q144" s="10">
        <f>'Baseline Building Energy'!Q154</f>
        <v>31723.238712717754</v>
      </c>
      <c r="R144" s="10">
        <f>'Baseline Building Energy'!R154</f>
        <v>31937.590257097774</v>
      </c>
      <c r="S144" s="10">
        <f>'Baseline Building Energy'!S154</f>
        <v>32151.941772220525</v>
      </c>
      <c r="T144" s="10">
        <f>'Baseline Building Energy'!T154</f>
        <v>32370.941592702562</v>
      </c>
      <c r="U144" s="10">
        <f>'Baseline Building Energy'!U154</f>
        <v>32590.669597075826</v>
      </c>
      <c r="V144" s="10">
        <f>'Baseline Building Energy'!V154</f>
        <v>32811.130437244326</v>
      </c>
      <c r="W144" s="10">
        <f>'Baseline Building Energy'!W154</f>
        <v>33032.328940655614</v>
      </c>
      <c r="X144" s="10">
        <f>'Baseline Building Energy'!X154</f>
        <v>33254.26987624271</v>
      </c>
      <c r="Y144" s="10">
        <f>'Baseline Building Energy'!Y154</f>
        <v>33476.958100710435</v>
      </c>
      <c r="Z144" s="10">
        <f>'Baseline Building Energy'!Z154</f>
        <v>33700.398470763583</v>
      </c>
      <c r="AA144" s="10">
        <f>'Baseline Building Energy'!AA154</f>
        <v>33924.595901621491</v>
      </c>
      <c r="AB144" s="10">
        <f>'Baseline Building Energy'!AB154</f>
        <v>34149.555308503477</v>
      </c>
      <c r="AC144" s="10">
        <f>'Baseline Building Energy'!AC154</f>
        <v>34375.281606628858</v>
      </c>
      <c r="AD144" s="342"/>
      <c r="AE144" s="346"/>
    </row>
    <row r="145" spans="1:30" ht="25.35" customHeight="1" x14ac:dyDescent="0.7">
      <c r="A145" s="116" t="s">
        <v>499</v>
      </c>
      <c r="B145" s="53">
        <v>26234.207636000003</v>
      </c>
      <c r="C145" s="10">
        <f>'Baseline Building Energy'!C155</f>
        <v>27185.214530913265</v>
      </c>
      <c r="D145" s="10">
        <f>'Baseline Building Energy'!D155</f>
        <v>26312.869511652832</v>
      </c>
      <c r="E145" s="10">
        <f>'Baseline Building Energy'!E155</f>
        <v>25808.795198747295</v>
      </c>
      <c r="F145" s="10">
        <f>'Baseline Building Energy'!F155</f>
        <v>25304.720885841762</v>
      </c>
      <c r="G145" s="10">
        <f>'Baseline Building Energy'!G155</f>
        <v>24800.646572936228</v>
      </c>
      <c r="H145" s="10">
        <f>'Baseline Building Energy'!H155</f>
        <v>24296.572260030687</v>
      </c>
      <c r="I145" s="10">
        <f>'Baseline Building Energy'!I155</f>
        <v>23792.497947125146</v>
      </c>
      <c r="J145" s="10">
        <f>'Baseline Building Energy'!J155</f>
        <v>23288.423634219598</v>
      </c>
      <c r="K145" s="10">
        <f>'Baseline Building Energy'!K155</f>
        <v>22784.349321314068</v>
      </c>
      <c r="L145" s="10">
        <f>'Baseline Building Energy'!L155</f>
        <v>22280.275008408535</v>
      </c>
      <c r="M145" s="10">
        <f>'Baseline Building Energy'!M155</f>
        <v>21776.200695502986</v>
      </c>
      <c r="N145" s="10">
        <f>'Baseline Building Energy'!N155</f>
        <v>21272.126382597464</v>
      </c>
      <c r="O145" s="10">
        <f>'Baseline Building Energy'!O155</f>
        <v>20768.052069691919</v>
      </c>
      <c r="P145" s="10">
        <f>'Baseline Building Energy'!P155</f>
        <v>20263.977756786371</v>
      </c>
      <c r="Q145" s="10">
        <f>'Baseline Building Energy'!Q155</f>
        <v>20160.094885618026</v>
      </c>
      <c r="R145" s="10">
        <f>'Baseline Building Energy'!R155</f>
        <v>20960.477769092402</v>
      </c>
      <c r="S145" s="10">
        <f>'Baseline Building Energy'!S155</f>
        <v>21760.860652566764</v>
      </c>
      <c r="T145" s="10">
        <f>'Baseline Building Energy'!T155</f>
        <v>22578.255924529512</v>
      </c>
      <c r="U145" s="10">
        <f>'Baseline Building Energy'!U155</f>
        <v>23398.340424661495</v>
      </c>
      <c r="V145" s="10">
        <f>'Baseline Building Energy'!V155</f>
        <v>24221.131487290975</v>
      </c>
      <c r="W145" s="10">
        <f>'Baseline Building Energy'!W155</f>
        <v>25046.646558480505</v>
      </c>
      <c r="X145" s="10">
        <f>'Baseline Building Energy'!X155</f>
        <v>25874.903196747084</v>
      </c>
      <c r="Y145" s="10">
        <f>'Baseline Building Energy'!Y155</f>
        <v>26705.919073787089</v>
      </c>
      <c r="Z145" s="10">
        <f>'Baseline Building Energy'!Z155</f>
        <v>27539.711975205792</v>
      </c>
      <c r="AA145" s="10">
        <f>'Baseline Building Energy'!AA155</f>
        <v>28376.299801251524</v>
      </c>
      <c r="AB145" s="10">
        <f>'Baseline Building Energy'!AB155</f>
        <v>29215.700567554821</v>
      </c>
      <c r="AC145" s="10">
        <f>'Baseline Building Energy'!AC155</f>
        <v>30057.932405871947</v>
      </c>
      <c r="AD145" s="342"/>
    </row>
    <row r="146" spans="1:30" ht="25.35" customHeight="1" x14ac:dyDescent="0.7">
      <c r="A146" s="116" t="s">
        <v>500</v>
      </c>
      <c r="B146" s="53">
        <v>0</v>
      </c>
      <c r="C146" s="10">
        <f>B146</f>
        <v>0</v>
      </c>
      <c r="D146" s="10">
        <f t="shared" ref="D146:AC146" si="62">C146</f>
        <v>0</v>
      </c>
      <c r="E146" s="10">
        <f t="shared" si="62"/>
        <v>0</v>
      </c>
      <c r="F146" s="10">
        <f t="shared" si="62"/>
        <v>0</v>
      </c>
      <c r="G146" s="10">
        <f>F146</f>
        <v>0</v>
      </c>
      <c r="H146" s="10">
        <f t="shared" si="62"/>
        <v>0</v>
      </c>
      <c r="I146" s="10">
        <f t="shared" si="62"/>
        <v>0</v>
      </c>
      <c r="J146" s="10">
        <f t="shared" si="62"/>
        <v>0</v>
      </c>
      <c r="K146" s="10">
        <f t="shared" si="62"/>
        <v>0</v>
      </c>
      <c r="L146" s="10">
        <f t="shared" si="62"/>
        <v>0</v>
      </c>
      <c r="M146" s="10">
        <f t="shared" si="62"/>
        <v>0</v>
      </c>
      <c r="N146" s="10">
        <f t="shared" si="62"/>
        <v>0</v>
      </c>
      <c r="O146" s="10">
        <f t="shared" si="62"/>
        <v>0</v>
      </c>
      <c r="P146" s="10">
        <f t="shared" si="62"/>
        <v>0</v>
      </c>
      <c r="Q146" s="10">
        <f t="shared" si="62"/>
        <v>0</v>
      </c>
      <c r="R146" s="10">
        <f t="shared" si="62"/>
        <v>0</v>
      </c>
      <c r="S146" s="10">
        <f t="shared" si="62"/>
        <v>0</v>
      </c>
      <c r="T146" s="10">
        <f t="shared" si="62"/>
        <v>0</v>
      </c>
      <c r="U146" s="10">
        <f t="shared" si="62"/>
        <v>0</v>
      </c>
      <c r="V146" s="10">
        <f t="shared" si="62"/>
        <v>0</v>
      </c>
      <c r="W146" s="10">
        <f t="shared" si="62"/>
        <v>0</v>
      </c>
      <c r="X146" s="10">
        <f t="shared" si="62"/>
        <v>0</v>
      </c>
      <c r="Y146" s="10">
        <f t="shared" si="62"/>
        <v>0</v>
      </c>
      <c r="Z146" s="10">
        <f t="shared" si="62"/>
        <v>0</v>
      </c>
      <c r="AA146" s="10">
        <f t="shared" si="62"/>
        <v>0</v>
      </c>
      <c r="AB146" s="10">
        <f t="shared" si="62"/>
        <v>0</v>
      </c>
      <c r="AC146" s="10">
        <f t="shared" si="62"/>
        <v>0</v>
      </c>
      <c r="AD146" s="342"/>
    </row>
    <row r="147" spans="1:30" ht="24" x14ac:dyDescent="0.85">
      <c r="A147" s="201" t="s">
        <v>156</v>
      </c>
      <c r="B147" s="202"/>
      <c r="C147" s="202"/>
      <c r="D147" s="202"/>
      <c r="E147" s="202"/>
      <c r="F147" s="202"/>
      <c r="G147" s="202"/>
      <c r="H147" s="202"/>
      <c r="I147" s="202"/>
      <c r="J147" s="202"/>
      <c r="K147" s="202"/>
      <c r="L147" s="202"/>
      <c r="M147" s="202"/>
      <c r="N147" s="202"/>
      <c r="O147" s="202"/>
      <c r="P147" s="202"/>
      <c r="Q147" s="202"/>
      <c r="R147" s="202"/>
      <c r="S147" s="202"/>
      <c r="T147" s="202"/>
      <c r="U147" s="202"/>
      <c r="V147" s="202"/>
      <c r="W147" s="202"/>
      <c r="X147" s="202"/>
      <c r="Y147" s="202"/>
      <c r="Z147" s="202"/>
      <c r="AA147" s="202"/>
      <c r="AB147" s="202"/>
      <c r="AC147" s="203"/>
      <c r="AD147" s="342"/>
    </row>
    <row r="148" spans="1:30" ht="25.35" customHeight="1" x14ac:dyDescent="0.7">
      <c r="A148" s="115"/>
      <c r="B148" s="11">
        <v>2023</v>
      </c>
      <c r="C148" s="11">
        <v>2024</v>
      </c>
      <c r="D148" s="11">
        <v>2025</v>
      </c>
      <c r="E148" s="11">
        <v>2026</v>
      </c>
      <c r="F148" s="11">
        <v>2027</v>
      </c>
      <c r="G148" s="11">
        <v>2028</v>
      </c>
      <c r="H148" s="11">
        <v>2029</v>
      </c>
      <c r="I148" s="11">
        <v>2030</v>
      </c>
      <c r="J148" s="11">
        <v>2031</v>
      </c>
      <c r="K148" s="11">
        <v>2032</v>
      </c>
      <c r="L148" s="11">
        <v>2033</v>
      </c>
      <c r="M148" s="11">
        <v>2034</v>
      </c>
      <c r="N148" s="11">
        <v>2035</v>
      </c>
      <c r="O148" s="11">
        <v>2036</v>
      </c>
      <c r="P148" s="11">
        <v>2037</v>
      </c>
      <c r="Q148" s="11">
        <v>2038</v>
      </c>
      <c r="R148" s="11">
        <v>2039</v>
      </c>
      <c r="S148" s="11">
        <v>2040</v>
      </c>
      <c r="T148" s="11">
        <v>2041</v>
      </c>
      <c r="U148" s="11">
        <v>2042</v>
      </c>
      <c r="V148" s="11">
        <v>2043</v>
      </c>
      <c r="W148" s="11">
        <v>2044</v>
      </c>
      <c r="X148" s="11">
        <v>2045</v>
      </c>
      <c r="Y148" s="11">
        <v>2046</v>
      </c>
      <c r="Z148" s="11">
        <v>2047</v>
      </c>
      <c r="AA148" s="11">
        <v>2048</v>
      </c>
      <c r="AB148" s="11">
        <v>2049</v>
      </c>
      <c r="AC148" s="11">
        <v>2050</v>
      </c>
      <c r="AD148" s="342"/>
    </row>
    <row r="149" spans="1:30" ht="25.35" customHeight="1" x14ac:dyDescent="0.7">
      <c r="A149" s="116" t="s">
        <v>501</v>
      </c>
      <c r="B149" s="53">
        <v>0</v>
      </c>
      <c r="C149" s="10">
        <f>B149</f>
        <v>0</v>
      </c>
      <c r="D149" s="10">
        <f t="shared" ref="D149:AC149" si="63">C149</f>
        <v>0</v>
      </c>
      <c r="E149" s="10">
        <f t="shared" si="63"/>
        <v>0</v>
      </c>
      <c r="F149" s="10">
        <f t="shared" si="63"/>
        <v>0</v>
      </c>
      <c r="G149" s="10">
        <f>F149</f>
        <v>0</v>
      </c>
      <c r="H149" s="10">
        <f t="shared" si="63"/>
        <v>0</v>
      </c>
      <c r="I149" s="10">
        <f t="shared" si="63"/>
        <v>0</v>
      </c>
      <c r="J149" s="10">
        <f t="shared" si="63"/>
        <v>0</v>
      </c>
      <c r="K149" s="10">
        <f t="shared" si="63"/>
        <v>0</v>
      </c>
      <c r="L149" s="10">
        <f t="shared" si="63"/>
        <v>0</v>
      </c>
      <c r="M149" s="10">
        <f t="shared" si="63"/>
        <v>0</v>
      </c>
      <c r="N149" s="10">
        <f t="shared" si="63"/>
        <v>0</v>
      </c>
      <c r="O149" s="10">
        <f t="shared" si="63"/>
        <v>0</v>
      </c>
      <c r="P149" s="10">
        <f t="shared" si="63"/>
        <v>0</v>
      </c>
      <c r="Q149" s="10">
        <f t="shared" si="63"/>
        <v>0</v>
      </c>
      <c r="R149" s="10">
        <f t="shared" si="63"/>
        <v>0</v>
      </c>
      <c r="S149" s="10">
        <f t="shared" si="63"/>
        <v>0</v>
      </c>
      <c r="T149" s="10">
        <f t="shared" si="63"/>
        <v>0</v>
      </c>
      <c r="U149" s="10">
        <f t="shared" si="63"/>
        <v>0</v>
      </c>
      <c r="V149" s="10">
        <f t="shared" si="63"/>
        <v>0</v>
      </c>
      <c r="W149" s="10">
        <f t="shared" si="63"/>
        <v>0</v>
      </c>
      <c r="X149" s="10">
        <f t="shared" si="63"/>
        <v>0</v>
      </c>
      <c r="Y149" s="10">
        <f t="shared" si="63"/>
        <v>0</v>
      </c>
      <c r="Z149" s="10">
        <f t="shared" si="63"/>
        <v>0</v>
      </c>
      <c r="AA149" s="10">
        <f t="shared" si="63"/>
        <v>0</v>
      </c>
      <c r="AB149" s="10">
        <f t="shared" si="63"/>
        <v>0</v>
      </c>
      <c r="AC149" s="10">
        <f t="shared" si="63"/>
        <v>0</v>
      </c>
      <c r="AD149" s="342"/>
    </row>
    <row r="150" spans="1:30" ht="25.35" customHeight="1" x14ac:dyDescent="0.7">
      <c r="A150" s="116" t="s">
        <v>502</v>
      </c>
      <c r="B150" s="53">
        <v>96.599597381866147</v>
      </c>
      <c r="C150" s="10">
        <f>B150</f>
        <v>96.599597381866147</v>
      </c>
      <c r="D150" s="10">
        <f t="shared" ref="D150:AC150" si="64">C150</f>
        <v>96.599597381866147</v>
      </c>
      <c r="E150" s="10">
        <f t="shared" si="64"/>
        <v>96.599597381866147</v>
      </c>
      <c r="F150" s="10">
        <f t="shared" si="64"/>
        <v>96.599597381866147</v>
      </c>
      <c r="G150" s="10">
        <f>F150</f>
        <v>96.599597381866147</v>
      </c>
      <c r="H150" s="10">
        <f t="shared" si="64"/>
        <v>96.599597381866147</v>
      </c>
      <c r="I150" s="10">
        <f t="shared" si="64"/>
        <v>96.599597381866147</v>
      </c>
      <c r="J150" s="10">
        <f t="shared" si="64"/>
        <v>96.599597381866147</v>
      </c>
      <c r="K150" s="10">
        <f t="shared" si="64"/>
        <v>96.599597381866147</v>
      </c>
      <c r="L150" s="10">
        <f t="shared" si="64"/>
        <v>96.599597381866147</v>
      </c>
      <c r="M150" s="10">
        <f t="shared" si="64"/>
        <v>96.599597381866147</v>
      </c>
      <c r="N150" s="10">
        <f t="shared" si="64"/>
        <v>96.599597381866147</v>
      </c>
      <c r="O150" s="10">
        <f t="shared" si="64"/>
        <v>96.599597381866147</v>
      </c>
      <c r="P150" s="10">
        <f t="shared" si="64"/>
        <v>96.599597381866147</v>
      </c>
      <c r="Q150" s="10">
        <f t="shared" si="64"/>
        <v>96.599597381866147</v>
      </c>
      <c r="R150" s="10">
        <f t="shared" si="64"/>
        <v>96.599597381866147</v>
      </c>
      <c r="S150" s="10">
        <f t="shared" si="64"/>
        <v>96.599597381866147</v>
      </c>
      <c r="T150" s="10">
        <f t="shared" si="64"/>
        <v>96.599597381866147</v>
      </c>
      <c r="U150" s="10">
        <f t="shared" si="64"/>
        <v>96.599597381866147</v>
      </c>
      <c r="V150" s="10">
        <f t="shared" si="64"/>
        <v>96.599597381866147</v>
      </c>
      <c r="W150" s="10">
        <f t="shared" si="64"/>
        <v>96.599597381866147</v>
      </c>
      <c r="X150" s="10">
        <f t="shared" si="64"/>
        <v>96.599597381866147</v>
      </c>
      <c r="Y150" s="10">
        <f t="shared" si="64"/>
        <v>96.599597381866147</v>
      </c>
      <c r="Z150" s="10">
        <f t="shared" si="64"/>
        <v>96.599597381866147</v>
      </c>
      <c r="AA150" s="10">
        <f t="shared" si="64"/>
        <v>96.599597381866147</v>
      </c>
      <c r="AB150" s="10">
        <f t="shared" si="64"/>
        <v>96.599597381866147</v>
      </c>
      <c r="AC150" s="10">
        <f t="shared" si="64"/>
        <v>96.599597381866147</v>
      </c>
      <c r="AD150" s="342"/>
    </row>
    <row r="151" spans="1:30" x14ac:dyDescent="0.7">
      <c r="A151" s="116" t="s">
        <v>503</v>
      </c>
      <c r="B151" s="53">
        <v>-7091</v>
      </c>
      <c r="C151" s="10">
        <f>B151</f>
        <v>-7091</v>
      </c>
      <c r="D151" s="10">
        <f t="shared" ref="D151" si="65">C151</f>
        <v>-7091</v>
      </c>
      <c r="E151" s="10">
        <f t="shared" ref="E151" si="66">D151</f>
        <v>-7091</v>
      </c>
      <c r="F151" s="10">
        <f t="shared" ref="F151" si="67">E151</f>
        <v>-7091</v>
      </c>
      <c r="G151" s="10">
        <f>F151</f>
        <v>-7091</v>
      </c>
      <c r="H151" s="10">
        <f t="shared" ref="H151" si="68">G151</f>
        <v>-7091</v>
      </c>
      <c r="I151" s="10">
        <f t="shared" ref="I151" si="69">H151</f>
        <v>-7091</v>
      </c>
      <c r="J151" s="10">
        <f t="shared" ref="J151" si="70">I151</f>
        <v>-7091</v>
      </c>
      <c r="K151" s="10">
        <f t="shared" ref="K151" si="71">J151</f>
        <v>-7091</v>
      </c>
      <c r="L151" s="10">
        <f t="shared" ref="L151" si="72">K151</f>
        <v>-7091</v>
      </c>
      <c r="M151" s="10">
        <f t="shared" ref="M151" si="73">L151</f>
        <v>-7091</v>
      </c>
      <c r="N151" s="10">
        <f t="shared" ref="N151" si="74">M151</f>
        <v>-7091</v>
      </c>
      <c r="O151" s="10">
        <f t="shared" ref="O151" si="75">N151</f>
        <v>-7091</v>
      </c>
      <c r="P151" s="10">
        <f t="shared" ref="P151" si="76">O151</f>
        <v>-7091</v>
      </c>
      <c r="Q151" s="10">
        <f t="shared" ref="Q151" si="77">P151</f>
        <v>-7091</v>
      </c>
      <c r="R151" s="10">
        <f t="shared" ref="R151" si="78">Q151</f>
        <v>-7091</v>
      </c>
      <c r="S151" s="10">
        <f t="shared" ref="S151" si="79">R151</f>
        <v>-7091</v>
      </c>
      <c r="T151" s="10">
        <f t="shared" ref="T151" si="80">S151</f>
        <v>-7091</v>
      </c>
      <c r="U151" s="10">
        <f t="shared" ref="U151" si="81">T151</f>
        <v>-7091</v>
      </c>
      <c r="V151" s="10">
        <f t="shared" ref="V151" si="82">U151</f>
        <v>-7091</v>
      </c>
      <c r="W151" s="10">
        <f t="shared" ref="W151" si="83">V151</f>
        <v>-7091</v>
      </c>
      <c r="X151" s="10">
        <f t="shared" ref="X151" si="84">W151</f>
        <v>-7091</v>
      </c>
      <c r="Y151" s="10">
        <f t="shared" ref="Y151" si="85">X151</f>
        <v>-7091</v>
      </c>
      <c r="Z151" s="10">
        <f t="shared" ref="Z151" si="86">Y151</f>
        <v>-7091</v>
      </c>
      <c r="AA151" s="10">
        <f t="shared" ref="AA151" si="87">Z151</f>
        <v>-7091</v>
      </c>
      <c r="AB151" s="10">
        <f t="shared" ref="AB151" si="88">AA151</f>
        <v>-7091</v>
      </c>
      <c r="AC151" s="10">
        <f t="shared" ref="AC151" si="89">AB151</f>
        <v>-7091</v>
      </c>
      <c r="AD151" s="342"/>
    </row>
    <row r="152" spans="1:30" ht="26.4" x14ac:dyDescent="0.9">
      <c r="A152" s="77" t="s">
        <v>138</v>
      </c>
      <c r="B152" s="78"/>
      <c r="C152" s="78"/>
      <c r="D152" s="78"/>
      <c r="E152" s="78"/>
      <c r="F152" s="78"/>
      <c r="G152" s="78"/>
      <c r="H152" s="78"/>
      <c r="I152" s="78"/>
      <c r="J152" s="78"/>
      <c r="K152" s="78"/>
      <c r="L152" s="78"/>
      <c r="M152" s="78"/>
      <c r="N152" s="78"/>
      <c r="O152" s="78"/>
      <c r="P152" s="78"/>
      <c r="Q152" s="78"/>
      <c r="R152" s="78"/>
      <c r="S152" s="78"/>
      <c r="T152" s="78"/>
      <c r="U152" s="78"/>
      <c r="V152" s="78"/>
      <c r="W152" s="78"/>
      <c r="X152" s="78"/>
      <c r="Y152" s="78"/>
      <c r="Z152" s="78"/>
      <c r="AA152" s="78"/>
      <c r="AB152" s="78"/>
      <c r="AC152" s="79"/>
    </row>
    <row r="153" spans="1:30" ht="25.35" customHeight="1" x14ac:dyDescent="0.7">
      <c r="A153" s="115"/>
      <c r="B153" s="11">
        <v>2023</v>
      </c>
      <c r="C153" s="11">
        <v>2024</v>
      </c>
      <c r="D153" s="11">
        <v>2025</v>
      </c>
      <c r="E153" s="11">
        <v>2026</v>
      </c>
      <c r="F153" s="11">
        <v>2027</v>
      </c>
      <c r="G153" s="11">
        <v>2028</v>
      </c>
      <c r="H153" s="11">
        <v>2029</v>
      </c>
      <c r="I153" s="11">
        <v>2030</v>
      </c>
      <c r="J153" s="11">
        <v>2031</v>
      </c>
      <c r="K153" s="11">
        <v>2032</v>
      </c>
      <c r="L153" s="11">
        <v>2033</v>
      </c>
      <c r="M153" s="11">
        <v>2034</v>
      </c>
      <c r="N153" s="11">
        <v>2035</v>
      </c>
      <c r="O153" s="11">
        <v>2036</v>
      </c>
      <c r="P153" s="11">
        <v>2037</v>
      </c>
      <c r="Q153" s="11">
        <v>2038</v>
      </c>
      <c r="R153" s="11">
        <v>2039</v>
      </c>
      <c r="S153" s="11">
        <v>2040</v>
      </c>
      <c r="T153" s="11">
        <v>2041</v>
      </c>
      <c r="U153" s="11">
        <v>2042</v>
      </c>
      <c r="V153" s="11">
        <v>2043</v>
      </c>
      <c r="W153" s="11">
        <v>2044</v>
      </c>
      <c r="X153" s="11">
        <v>2045</v>
      </c>
      <c r="Y153" s="11">
        <v>2046</v>
      </c>
      <c r="Z153" s="11">
        <v>2047</v>
      </c>
      <c r="AA153" s="11">
        <v>2048</v>
      </c>
      <c r="AB153" s="11">
        <v>2049</v>
      </c>
      <c r="AC153" s="11">
        <v>2050</v>
      </c>
    </row>
    <row r="154" spans="1:30" ht="25.35" customHeight="1" x14ac:dyDescent="0.7">
      <c r="A154" s="123" t="s">
        <v>61</v>
      </c>
      <c r="B154" s="60">
        <f>SUM(B149:B151,B144:B146,B138:B141,B133:B134,B131,B124:B129,B122,B118:B120,,B109:B111,B105:B107,B102:B103,B97:B98)</f>
        <v>5523225.6227587098</v>
      </c>
      <c r="C154" s="60">
        <f t="shared" ref="C154:AC154" si="90">SUM(C149:C151,C144:C146,C138:C141,C133:C134,C131,C124:C129,C122,C118:C120,,C109:C111,C105:C107,C102:C103,C97:C98)</f>
        <v>5428994.6129903365</v>
      </c>
      <c r="D154" s="60">
        <f t="shared" si="90"/>
        <v>5328971.5475277985</v>
      </c>
      <c r="E154" s="60">
        <f t="shared" si="90"/>
        <v>5221292.0176357087</v>
      </c>
      <c r="F154" s="60">
        <f t="shared" si="90"/>
        <v>5111223.6076229904</v>
      </c>
      <c r="G154" s="60">
        <f t="shared" si="90"/>
        <v>4998392.700885619</v>
      </c>
      <c r="H154" s="60">
        <f t="shared" si="90"/>
        <v>4883086.5895453645</v>
      </c>
      <c r="I154" s="60">
        <f t="shared" si="90"/>
        <v>4765663.4180535395</v>
      </c>
      <c r="J154" s="60">
        <f t="shared" si="90"/>
        <v>4655432.5663803564</v>
      </c>
      <c r="K154" s="60">
        <f t="shared" si="90"/>
        <v>4543691.9325145623</v>
      </c>
      <c r="L154" s="60">
        <f t="shared" si="90"/>
        <v>4464724.5051206229</v>
      </c>
      <c r="M154" s="60">
        <f t="shared" si="90"/>
        <v>4385653.9126027636</v>
      </c>
      <c r="N154" s="60">
        <f t="shared" si="90"/>
        <v>4305741.6422634572</v>
      </c>
      <c r="O154" s="60">
        <f t="shared" si="90"/>
        <v>4221882.8067203145</v>
      </c>
      <c r="P154" s="60">
        <f t="shared" si="90"/>
        <v>4138696.038836834</v>
      </c>
      <c r="Q154" s="60">
        <f t="shared" si="90"/>
        <v>4056852.3789304984</v>
      </c>
      <c r="R154" s="60">
        <f t="shared" si="90"/>
        <v>3979474.2356169936</v>
      </c>
      <c r="S154" s="60">
        <f t="shared" si="90"/>
        <v>3902577.1925924392</v>
      </c>
      <c r="T154" s="60">
        <f t="shared" si="90"/>
        <v>3872255.1133824773</v>
      </c>
      <c r="U154" s="60">
        <f t="shared" si="90"/>
        <v>3843882.3853013418</v>
      </c>
      <c r="V154" s="60">
        <f t="shared" si="90"/>
        <v>3817595.3104541004</v>
      </c>
      <c r="W154" s="60">
        <f t="shared" si="90"/>
        <v>3792805.0506887678</v>
      </c>
      <c r="X154" s="60">
        <f t="shared" si="90"/>
        <v>3769282.9266264415</v>
      </c>
      <c r="Y154" s="60">
        <f t="shared" si="90"/>
        <v>3756528.352896288</v>
      </c>
      <c r="Z154" s="60">
        <f t="shared" si="90"/>
        <v>3744787.7120939032</v>
      </c>
      <c r="AA154" s="60">
        <f t="shared" si="90"/>
        <v>3733689.7570089889</v>
      </c>
      <c r="AB154" s="60">
        <f t="shared" si="90"/>
        <v>3722891.636495708</v>
      </c>
      <c r="AC154" s="60">
        <f t="shared" si="90"/>
        <v>3712650.3294285275</v>
      </c>
    </row>
    <row r="155" spans="1:30" ht="25.35" customHeight="1" x14ac:dyDescent="0.7">
      <c r="A155" s="123" t="s">
        <v>71</v>
      </c>
      <c r="B155" s="63" t="s">
        <v>113</v>
      </c>
      <c r="C155" s="63">
        <f>(C154-B154)/B154</f>
        <v>-1.7060865552927993E-2</v>
      </c>
      <c r="D155" s="63">
        <f t="shared" ref="D155:AC155" si="91">(D154-C154)/C154</f>
        <v>-1.8423865299701317E-2</v>
      </c>
      <c r="E155" s="63">
        <f t="shared" si="91"/>
        <v>-2.0206437383221563E-2</v>
      </c>
      <c r="F155" s="63">
        <f t="shared" si="91"/>
        <v>-2.1080684558715635E-2</v>
      </c>
      <c r="G155" s="63">
        <f>(G154-F154)/F154</f>
        <v>-2.2075126310086075E-2</v>
      </c>
      <c r="H155" s="63">
        <f t="shared" si="91"/>
        <v>-2.3068637908306908E-2</v>
      </c>
      <c r="I155" s="63">
        <f>(I154-H154)/H154</f>
        <v>-2.4046915683049071E-2</v>
      </c>
      <c r="J155" s="63">
        <f t="shared" si="91"/>
        <v>-2.3130221755821165E-2</v>
      </c>
      <c r="K155" s="64">
        <f>(K154-J154)/J154</f>
        <v>-2.4002202216984014E-2</v>
      </c>
      <c r="L155" s="64">
        <f t="shared" si="91"/>
        <v>-1.7379573388074603E-2</v>
      </c>
      <c r="M155" s="64">
        <f t="shared" si="91"/>
        <v>-1.7710072016128363E-2</v>
      </c>
      <c r="N155" s="64">
        <f t="shared" si="91"/>
        <v>-1.8221289671231884E-2</v>
      </c>
      <c r="O155" s="64">
        <f t="shared" si="91"/>
        <v>-1.9476049078285949E-2</v>
      </c>
      <c r="P155" s="64">
        <f t="shared" si="91"/>
        <v>-1.9703713175331483E-2</v>
      </c>
      <c r="Q155" s="64">
        <f t="shared" si="91"/>
        <v>-1.9775228511185256E-2</v>
      </c>
      <c r="R155" s="64">
        <f t="shared" si="91"/>
        <v>-1.9073443173671465E-2</v>
      </c>
      <c r="S155" s="64">
        <f t="shared" si="91"/>
        <v>-1.9323417736019581E-2</v>
      </c>
      <c r="T155" s="64">
        <f t="shared" si="91"/>
        <v>-7.7697577046052747E-3</v>
      </c>
      <c r="U155" s="64">
        <f t="shared" si="91"/>
        <v>-7.3271846121604079E-3</v>
      </c>
      <c r="V155" s="64">
        <f t="shared" si="91"/>
        <v>-6.8386782456614156E-3</v>
      </c>
      <c r="W155" s="64">
        <f t="shared" si="91"/>
        <v>-6.4936845708729093E-3</v>
      </c>
      <c r="X155" s="64">
        <f t="shared" si="91"/>
        <v>-6.2017751368620144E-3</v>
      </c>
      <c r="Y155" s="64">
        <f t="shared" si="91"/>
        <v>-3.3838196756349652E-3</v>
      </c>
      <c r="Z155" s="64">
        <f t="shared" si="91"/>
        <v>-3.1253965628484531E-3</v>
      </c>
      <c r="AA155" s="64">
        <f t="shared" si="91"/>
        <v>-2.9635738894018388E-3</v>
      </c>
      <c r="AB155" s="64">
        <f t="shared" si="91"/>
        <v>-2.8920776004514874E-3</v>
      </c>
      <c r="AC155" s="64">
        <f t="shared" si="91"/>
        <v>-2.7509011991604672E-3</v>
      </c>
    </row>
    <row r="156" spans="1:30" ht="51.75" customHeight="1" x14ac:dyDescent="0.7">
      <c r="A156" s="123" t="s">
        <v>642</v>
      </c>
      <c r="B156" s="63" t="s">
        <v>113</v>
      </c>
      <c r="C156" s="63">
        <f>(C154-$B$154)/$B$154</f>
        <v>-1.7060865552927993E-2</v>
      </c>
      <c r="D156" s="63">
        <f t="shared" ref="D156:AC156" si="92">(D154-$B$154)/$B$154</f>
        <v>-3.517040376378585E-2</v>
      </c>
      <c r="E156" s="63">
        <f t="shared" si="92"/>
        <v>-5.4666172585611857E-2</v>
      </c>
      <c r="F156" s="63">
        <f t="shared" si="92"/>
        <v>-7.4594456804017897E-2</v>
      </c>
      <c r="G156" s="63">
        <f t="shared" si="92"/>
        <v>-9.5022901058123027E-2</v>
      </c>
      <c r="H156" s="63">
        <f t="shared" si="92"/>
        <v>-0.11589949006892322</v>
      </c>
      <c r="I156" s="63">
        <f t="shared" si="92"/>
        <v>-0.1371593804865765</v>
      </c>
      <c r="J156" s="63">
        <f t="shared" si="92"/>
        <v>-0.15711707535585209</v>
      </c>
      <c r="K156" s="63">
        <f t="shared" si="92"/>
        <v>-0.17734812175840384</v>
      </c>
      <c r="L156" s="63">
        <f t="shared" si="92"/>
        <v>-0.19164546044914108</v>
      </c>
      <c r="M156" s="63">
        <f t="shared" si="92"/>
        <v>-0.20596147755915106</v>
      </c>
      <c r="N156" s="63">
        <f t="shared" si="92"/>
        <v>-0.22042988348666273</v>
      </c>
      <c r="O156" s="63">
        <f t="shared" si="92"/>
        <v>-0.2356128293358416</v>
      </c>
      <c r="P156" s="63">
        <f t="shared" si="92"/>
        <v>-0.25067409490151132</v>
      </c>
      <c r="Q156" s="63">
        <f t="shared" si="92"/>
        <v>-0.26549218590418466</v>
      </c>
      <c r="R156" s="63">
        <f t="shared" si="92"/>
        <v>-0.27950177895695882</v>
      </c>
      <c r="S156" s="63">
        <f t="shared" si="92"/>
        <v>-0.2934242670602325</v>
      </c>
      <c r="T156" s="63">
        <f t="shared" si="92"/>
        <v>-0.29891418930512836</v>
      </c>
      <c r="U156" s="63">
        <f t="shared" si="92"/>
        <v>-0.30405117446905583</v>
      </c>
      <c r="V156" s="63">
        <f t="shared" si="92"/>
        <v>-0.30881054456230794</v>
      </c>
      <c r="W156" s="63">
        <f t="shared" si="92"/>
        <v>-0.31329891086463368</v>
      </c>
      <c r="X156" s="63">
        <f t="shared" si="92"/>
        <v>-0.31755767660568951</v>
      </c>
      <c r="Y156" s="63">
        <f t="shared" si="92"/>
        <v>-0.31986693836707719</v>
      </c>
      <c r="Z156" s="63">
        <f t="shared" si="92"/>
        <v>-0.32199262390018435</v>
      </c>
      <c r="AA156" s="63">
        <f t="shared" si="92"/>
        <v>-0.3240019488568156</v>
      </c>
      <c r="AB156" s="63">
        <f t="shared" si="92"/>
        <v>-0.32595698767847564</v>
      </c>
      <c r="AC156" s="63">
        <f t="shared" si="92"/>
        <v>-0.32781121340935665</v>
      </c>
    </row>
    <row r="157" spans="1:30" ht="26.4" x14ac:dyDescent="0.9">
      <c r="A157" s="77" t="s">
        <v>692</v>
      </c>
      <c r="B157" s="78"/>
      <c r="C157" s="78"/>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9"/>
    </row>
    <row r="158" spans="1:30" x14ac:dyDescent="0.7">
      <c r="A158" s="115"/>
      <c r="B158" s="11">
        <v>2023</v>
      </c>
      <c r="C158" s="11"/>
      <c r="D158" s="11">
        <v>2025</v>
      </c>
      <c r="E158" s="11"/>
      <c r="F158" s="11"/>
      <c r="G158" s="11"/>
      <c r="H158" s="11"/>
      <c r="I158" s="11">
        <v>2030</v>
      </c>
      <c r="J158" s="11"/>
      <c r="K158" s="11"/>
      <c r="L158" s="11"/>
      <c r="M158" s="11"/>
      <c r="N158" s="11">
        <v>2035</v>
      </c>
      <c r="O158" s="11"/>
      <c r="P158" s="11"/>
      <c r="Q158" s="11"/>
      <c r="R158" s="11"/>
      <c r="S158" s="11">
        <v>2040</v>
      </c>
      <c r="T158" s="11"/>
      <c r="U158" s="11"/>
      <c r="V158" s="11"/>
      <c r="W158" s="11"/>
      <c r="X158" s="11">
        <v>2045</v>
      </c>
      <c r="Y158" s="11"/>
      <c r="Z158" s="11"/>
      <c r="AA158" s="11"/>
      <c r="AB158" s="11"/>
      <c r="AC158" s="11">
        <v>2050</v>
      </c>
    </row>
    <row r="159" spans="1:30" x14ac:dyDescent="0.7">
      <c r="A159" s="116" t="s">
        <v>693</v>
      </c>
      <c r="B159" s="10">
        <f>B162-B161-B160</f>
        <v>4247766.1188118514</v>
      </c>
      <c r="C159" s="10">
        <f t="shared" ref="C159:AC159" si="93">C162-C161-C160</f>
        <v>4213004.5724780541</v>
      </c>
      <c r="D159" s="10">
        <f t="shared" si="93"/>
        <v>4169888.8166320603</v>
      </c>
      <c r="E159" s="10">
        <f t="shared" si="93"/>
        <v>4123637.6313053635</v>
      </c>
      <c r="F159" s="10">
        <f t="shared" si="93"/>
        <v>4077563.9926674911</v>
      </c>
      <c r="G159" s="10">
        <f t="shared" si="93"/>
        <v>4031309.7662677569</v>
      </c>
      <c r="H159" s="10">
        <f t="shared" si="93"/>
        <v>3985148.3252968029</v>
      </c>
      <c r="I159" s="10">
        <f t="shared" si="93"/>
        <v>3939420.604049738</v>
      </c>
      <c r="J159" s="10">
        <f t="shared" si="93"/>
        <v>3903104.8663045317</v>
      </c>
      <c r="K159" s="10">
        <f t="shared" si="93"/>
        <v>3868055.3831188041</v>
      </c>
      <c r="L159" s="10">
        <f t="shared" si="93"/>
        <v>3835045.9727540058</v>
      </c>
      <c r="M159" s="10">
        <f t="shared" si="93"/>
        <v>3803631.8917201627</v>
      </c>
      <c r="N159" s="10">
        <f t="shared" si="93"/>
        <v>3773073.8360294634</v>
      </c>
      <c r="O159" s="10">
        <f t="shared" si="93"/>
        <v>3740102.3256963594</v>
      </c>
      <c r="P159" s="10">
        <f t="shared" si="93"/>
        <v>3709713.1636192165</v>
      </c>
      <c r="Q159" s="10">
        <f t="shared" si="93"/>
        <v>3682535.8409035699</v>
      </c>
      <c r="R159" s="10">
        <f t="shared" si="93"/>
        <v>3661667.5240457635</v>
      </c>
      <c r="S159" s="10">
        <f t="shared" si="93"/>
        <v>3643114.8505686675</v>
      </c>
      <c r="T159" s="10">
        <f t="shared" si="93"/>
        <v>3612944.2959253439</v>
      </c>
      <c r="U159" s="10">
        <f t="shared" si="93"/>
        <v>3584723.0924108466</v>
      </c>
      <c r="V159" s="10">
        <f t="shared" si="93"/>
        <v>3558587.5421302435</v>
      </c>
      <c r="W159" s="10">
        <f t="shared" si="93"/>
        <v>3533948.8069315492</v>
      </c>
      <c r="X159" s="10">
        <f t="shared" si="93"/>
        <v>3510578.2074358612</v>
      </c>
      <c r="Y159" s="10">
        <f t="shared" si="93"/>
        <v>3498143.7629912952</v>
      </c>
      <c r="Z159" s="10">
        <f t="shared" si="93"/>
        <v>3486723.2514744974</v>
      </c>
      <c r="AA159" s="10">
        <f t="shared" si="93"/>
        <v>3475945.4256751705</v>
      </c>
      <c r="AB159" s="10">
        <f t="shared" si="93"/>
        <v>3465467.4344474766</v>
      </c>
      <c r="AC159" s="10">
        <f t="shared" si="93"/>
        <v>3455546.2566658831</v>
      </c>
    </row>
    <row r="160" spans="1:30" x14ac:dyDescent="0.7">
      <c r="A160" s="116" t="s">
        <v>694</v>
      </c>
      <c r="B160" s="10">
        <f>B97+B102+B119+B128</f>
        <v>994939.62821341818</v>
      </c>
      <c r="C160" s="10">
        <f t="shared" ref="C160:AC160" si="94">C97+C102+C119+C128</f>
        <v>936312.0864834775</v>
      </c>
      <c r="D160" s="10">
        <f t="shared" si="94"/>
        <v>880182.41101481556</v>
      </c>
      <c r="E160" s="10">
        <f t="shared" si="94"/>
        <v>819846.87865670526</v>
      </c>
      <c r="F160" s="10">
        <f t="shared" si="94"/>
        <v>757011.97808416223</v>
      </c>
      <c r="G160" s="10">
        <f t="shared" si="94"/>
        <v>691662.63833071745</v>
      </c>
      <c r="H160" s="10">
        <f t="shared" si="94"/>
        <v>623812.40678505006</v>
      </c>
      <c r="I160" s="10">
        <f t="shared" si="94"/>
        <v>553478.03355719382</v>
      </c>
      <c r="J160" s="10">
        <f t="shared" si="94"/>
        <v>481215.12488642056</v>
      </c>
      <c r="K160" s="10">
        <f t="shared" si="94"/>
        <v>406248.6960766674</v>
      </c>
      <c r="L160" s="10">
        <f t="shared" si="94"/>
        <v>361213.12023102184</v>
      </c>
      <c r="M160" s="10">
        <f t="shared" si="94"/>
        <v>314523.41588314442</v>
      </c>
      <c r="N160" s="10">
        <f t="shared" si="94"/>
        <v>266180.35131978453</v>
      </c>
      <c r="O160" s="10">
        <f t="shared" si="94"/>
        <v>216600.02584845616</v>
      </c>
      <c r="P160" s="10">
        <f t="shared" si="94"/>
        <v>165159.30913137342</v>
      </c>
      <c r="Q160" s="10">
        <f t="shared" si="94"/>
        <v>111898.65972024751</v>
      </c>
      <c r="R160" s="10">
        <f t="shared" si="94"/>
        <v>56842.653944160447</v>
      </c>
      <c r="S160" s="10">
        <f t="shared" si="94"/>
        <v>0</v>
      </c>
      <c r="T160" s="10">
        <f t="shared" si="94"/>
        <v>0</v>
      </c>
      <c r="U160" s="10">
        <f t="shared" si="94"/>
        <v>0</v>
      </c>
      <c r="V160" s="10">
        <f t="shared" si="94"/>
        <v>0</v>
      </c>
      <c r="W160" s="10">
        <f t="shared" si="94"/>
        <v>0</v>
      </c>
      <c r="X160" s="10">
        <f t="shared" si="94"/>
        <v>0</v>
      </c>
      <c r="Y160" s="10">
        <f t="shared" si="94"/>
        <v>0</v>
      </c>
      <c r="Z160" s="10">
        <f t="shared" si="94"/>
        <v>0</v>
      </c>
      <c r="AA160" s="10">
        <f t="shared" si="94"/>
        <v>0</v>
      </c>
      <c r="AB160" s="10">
        <f t="shared" si="94"/>
        <v>0</v>
      </c>
      <c r="AC160" s="10">
        <f t="shared" si="94"/>
        <v>0</v>
      </c>
    </row>
    <row r="161" spans="1:29" x14ac:dyDescent="0.7">
      <c r="A161" s="116" t="s">
        <v>695</v>
      </c>
      <c r="B161" s="10">
        <f>B129+B120+B103+B98+B134</f>
        <v>280519.87573344109</v>
      </c>
      <c r="C161" s="10">
        <f t="shared" ref="C161:AC161" si="95">C129+C120+C103+C98+C134</f>
        <v>279677.95402880473</v>
      </c>
      <c r="D161" s="10">
        <f t="shared" si="95"/>
        <v>278900.31988092256</v>
      </c>
      <c r="E161" s="10">
        <f t="shared" si="95"/>
        <v>277807.50767363986</v>
      </c>
      <c r="F161" s="10">
        <f t="shared" si="95"/>
        <v>276647.63687133725</v>
      </c>
      <c r="G161" s="10">
        <f t="shared" si="95"/>
        <v>275420.29628714436</v>
      </c>
      <c r="H161" s="10">
        <f t="shared" si="95"/>
        <v>274125.85746351175</v>
      </c>
      <c r="I161" s="10">
        <f t="shared" si="95"/>
        <v>272764.78044660779</v>
      </c>
      <c r="J161" s="10">
        <f t="shared" si="95"/>
        <v>271112.57518940425</v>
      </c>
      <c r="K161" s="10">
        <f t="shared" si="95"/>
        <v>269387.85331909073</v>
      </c>
      <c r="L161" s="10">
        <f t="shared" si="95"/>
        <v>268465.41213559516</v>
      </c>
      <c r="M161" s="10">
        <f t="shared" si="95"/>
        <v>267498.60499945632</v>
      </c>
      <c r="N161" s="10">
        <f t="shared" si="95"/>
        <v>266487.45491420961</v>
      </c>
      <c r="O161" s="10">
        <f t="shared" si="95"/>
        <v>265180.45517549902</v>
      </c>
      <c r="P161" s="10">
        <f t="shared" si="95"/>
        <v>263823.5660862439</v>
      </c>
      <c r="Q161" s="10">
        <f t="shared" si="95"/>
        <v>262417.87830668071</v>
      </c>
      <c r="R161" s="10">
        <f t="shared" si="95"/>
        <v>260964.05762706994</v>
      </c>
      <c r="S161" s="10">
        <f t="shared" si="95"/>
        <v>259462.34202377187</v>
      </c>
      <c r="T161" s="10">
        <f t="shared" si="95"/>
        <v>259310.8174571335</v>
      </c>
      <c r="U161" s="10">
        <f t="shared" si="95"/>
        <v>259159.29289049516</v>
      </c>
      <c r="V161" s="10">
        <f t="shared" si="95"/>
        <v>259007.76832385678</v>
      </c>
      <c r="W161" s="10">
        <f t="shared" si="95"/>
        <v>258856.24375721844</v>
      </c>
      <c r="X161" s="10">
        <f t="shared" si="95"/>
        <v>258704.71919058007</v>
      </c>
      <c r="Y161" s="10">
        <f t="shared" si="95"/>
        <v>258384.5899049929</v>
      </c>
      <c r="Z161" s="10">
        <f t="shared" si="95"/>
        <v>258064.46061940576</v>
      </c>
      <c r="AA161" s="10">
        <f t="shared" si="95"/>
        <v>257744.33133381858</v>
      </c>
      <c r="AB161" s="10">
        <f t="shared" si="95"/>
        <v>257424.20204823144</v>
      </c>
      <c r="AC161" s="10">
        <f t="shared" si="95"/>
        <v>257104.07276264427</v>
      </c>
    </row>
    <row r="162" spans="1:29" x14ac:dyDescent="0.7">
      <c r="A162" s="116" t="s">
        <v>138</v>
      </c>
      <c r="B162" s="10">
        <f>B154</f>
        <v>5523225.6227587098</v>
      </c>
      <c r="C162" s="10">
        <f t="shared" ref="C162:AC162" si="96">C154</f>
        <v>5428994.6129903365</v>
      </c>
      <c r="D162" s="10">
        <f t="shared" si="96"/>
        <v>5328971.5475277985</v>
      </c>
      <c r="E162" s="10">
        <f t="shared" si="96"/>
        <v>5221292.0176357087</v>
      </c>
      <c r="F162" s="10">
        <f t="shared" si="96"/>
        <v>5111223.6076229904</v>
      </c>
      <c r="G162" s="10">
        <f t="shared" si="96"/>
        <v>4998392.700885619</v>
      </c>
      <c r="H162" s="10">
        <f t="shared" si="96"/>
        <v>4883086.5895453645</v>
      </c>
      <c r="I162" s="10">
        <f t="shared" si="96"/>
        <v>4765663.4180535395</v>
      </c>
      <c r="J162" s="10">
        <f t="shared" si="96"/>
        <v>4655432.5663803564</v>
      </c>
      <c r="K162" s="10">
        <f t="shared" si="96"/>
        <v>4543691.9325145623</v>
      </c>
      <c r="L162" s="10">
        <f t="shared" si="96"/>
        <v>4464724.5051206229</v>
      </c>
      <c r="M162" s="10">
        <f t="shared" si="96"/>
        <v>4385653.9126027636</v>
      </c>
      <c r="N162" s="10">
        <f t="shared" si="96"/>
        <v>4305741.6422634572</v>
      </c>
      <c r="O162" s="10">
        <f t="shared" si="96"/>
        <v>4221882.8067203145</v>
      </c>
      <c r="P162" s="10">
        <f t="shared" si="96"/>
        <v>4138696.038836834</v>
      </c>
      <c r="Q162" s="10">
        <f t="shared" si="96"/>
        <v>4056852.3789304984</v>
      </c>
      <c r="R162" s="10">
        <f t="shared" si="96"/>
        <v>3979474.2356169936</v>
      </c>
      <c r="S162" s="10">
        <f t="shared" si="96"/>
        <v>3902577.1925924392</v>
      </c>
      <c r="T162" s="10">
        <f t="shared" si="96"/>
        <v>3872255.1133824773</v>
      </c>
      <c r="U162" s="10">
        <f t="shared" si="96"/>
        <v>3843882.3853013418</v>
      </c>
      <c r="V162" s="10">
        <f t="shared" si="96"/>
        <v>3817595.3104541004</v>
      </c>
      <c r="W162" s="10">
        <f t="shared" si="96"/>
        <v>3792805.0506887678</v>
      </c>
      <c r="X162" s="10">
        <f t="shared" si="96"/>
        <v>3769282.9266264415</v>
      </c>
      <c r="Y162" s="10">
        <f t="shared" si="96"/>
        <v>3756528.352896288</v>
      </c>
      <c r="Z162" s="10">
        <f t="shared" si="96"/>
        <v>3744787.7120939032</v>
      </c>
      <c r="AA162" s="10">
        <f t="shared" si="96"/>
        <v>3733689.7570089889</v>
      </c>
      <c r="AB162" s="10">
        <f t="shared" si="96"/>
        <v>3722891.636495708</v>
      </c>
      <c r="AC162" s="10">
        <f t="shared" si="96"/>
        <v>3712650.3294285275</v>
      </c>
    </row>
    <row r="163" spans="1:29" ht="26.4" x14ac:dyDescent="0.9">
      <c r="A163" s="77" t="s">
        <v>67</v>
      </c>
      <c r="B163" s="78"/>
      <c r="C163" s="78"/>
      <c r="D163" s="78"/>
      <c r="E163" s="78"/>
      <c r="F163" s="78"/>
      <c r="G163" s="78"/>
      <c r="H163" s="78"/>
      <c r="I163" s="78"/>
      <c r="J163" s="78"/>
      <c r="K163" s="78"/>
      <c r="L163" s="78"/>
      <c r="M163" s="78"/>
      <c r="N163" s="78"/>
      <c r="O163" s="78"/>
      <c r="P163" s="78"/>
      <c r="Q163" s="78"/>
      <c r="R163" s="78"/>
      <c r="S163" s="78"/>
      <c r="T163" s="78"/>
      <c r="U163" s="78"/>
      <c r="V163" s="78"/>
      <c r="W163" s="78"/>
      <c r="X163" s="78"/>
      <c r="Y163" s="78"/>
      <c r="Z163" s="78"/>
      <c r="AA163" s="78"/>
      <c r="AB163" s="78"/>
      <c r="AC163" s="79"/>
    </row>
    <row r="164" spans="1:29" x14ac:dyDescent="0.7">
      <c r="A164" s="115"/>
      <c r="B164" s="11">
        <v>2023</v>
      </c>
      <c r="C164" s="11"/>
      <c r="D164" s="11">
        <v>2025</v>
      </c>
      <c r="E164" s="11"/>
      <c r="F164" s="11"/>
      <c r="G164" s="11"/>
      <c r="H164" s="11"/>
      <c r="I164" s="11">
        <v>2030</v>
      </c>
      <c r="J164" s="11"/>
      <c r="K164" s="11"/>
      <c r="L164" s="11"/>
      <c r="M164" s="11"/>
      <c r="N164" s="11">
        <v>2035</v>
      </c>
      <c r="O164" s="11"/>
      <c r="P164" s="11"/>
      <c r="Q164" s="11"/>
      <c r="R164" s="11"/>
      <c r="S164" s="11">
        <v>2040</v>
      </c>
      <c r="T164" s="11"/>
      <c r="U164" s="11"/>
      <c r="V164" s="11"/>
      <c r="W164" s="11"/>
      <c r="X164" s="11">
        <v>2045</v>
      </c>
      <c r="Y164" s="11"/>
      <c r="Z164" s="11"/>
      <c r="AA164" s="11"/>
      <c r="AB164" s="11"/>
      <c r="AC164" s="11">
        <v>2050</v>
      </c>
    </row>
    <row r="165" spans="1:29" x14ac:dyDescent="0.7">
      <c r="A165" s="116" t="s">
        <v>95</v>
      </c>
      <c r="B165" s="10">
        <f>SUM(B97:B98,B102:B103,B105:B107,B109:B111)</f>
        <v>3113205.2661262383</v>
      </c>
      <c r="C165" s="10">
        <f>SUM(C97:C98,C102:C103,C105:C107,C109:C111)</f>
        <v>3054392.5504141692</v>
      </c>
      <c r="D165" s="10">
        <f t="shared" ref="D165:AC165" si="97">SUM(D97:D98,D102:D103,D105:D107,D109:D111)</f>
        <v>2995456.5106948144</v>
      </c>
      <c r="E165" s="10">
        <f t="shared" si="97"/>
        <v>2928965.7345234482</v>
      </c>
      <c r="F165" s="10">
        <f t="shared" si="97"/>
        <v>2859965.9071416692</v>
      </c>
      <c r="G165" s="10">
        <f t="shared" si="97"/>
        <v>2788451.3465993758</v>
      </c>
      <c r="H165" s="10">
        <f t="shared" si="97"/>
        <v>2714414.7153186062</v>
      </c>
      <c r="I165" s="10">
        <f t="shared" si="97"/>
        <v>2637852.1006209934</v>
      </c>
      <c r="J165" s="10">
        <f t="shared" si="97"/>
        <v>2567782.9997244012</v>
      </c>
      <c r="K165" s="10">
        <f t="shared" si="97"/>
        <v>2494976.1493798154</v>
      </c>
      <c r="L165" s="10">
        <f t="shared" si="97"/>
        <v>2452565.8249467053</v>
      </c>
      <c r="M165" s="10">
        <f t="shared" si="97"/>
        <v>2408447.3035941171</v>
      </c>
      <c r="N165" s="10">
        <f t="shared" si="97"/>
        <v>2362634.1768073002</v>
      </c>
      <c r="O165" s="10">
        <f t="shared" si="97"/>
        <v>2309609.3646009457</v>
      </c>
      <c r="P165" s="10">
        <f t="shared" si="97"/>
        <v>2255159.1342528942</v>
      </c>
      <c r="Q165" s="10">
        <f t="shared" si="97"/>
        <v>2199090.8380327937</v>
      </c>
      <c r="R165" s="10">
        <f t="shared" si="97"/>
        <v>2141190.558613155</v>
      </c>
      <c r="S165" s="10">
        <f t="shared" si="97"/>
        <v>2081450.993403211</v>
      </c>
      <c r="T165" s="10">
        <f t="shared" si="97"/>
        <v>2067430.960871232</v>
      </c>
      <c r="U165" s="10">
        <f t="shared" si="97"/>
        <v>2053451.2084827553</v>
      </c>
      <c r="V165" s="10">
        <f t="shared" si="97"/>
        <v>2039506.2968530937</v>
      </c>
      <c r="W165" s="10">
        <f t="shared" si="97"/>
        <v>2025592.8261514013</v>
      </c>
      <c r="X165" s="10">
        <f t="shared" si="97"/>
        <v>2011711.6187329413</v>
      </c>
      <c r="Y165" s="10">
        <f t="shared" si="97"/>
        <v>2008648.971399128</v>
      </c>
      <c r="Z165" s="10">
        <f t="shared" si="97"/>
        <v>2005584.6334763258</v>
      </c>
      <c r="AA165" s="10">
        <f t="shared" si="97"/>
        <v>2002519.4266361012</v>
      </c>
      <c r="AB165" s="10">
        <f t="shared" si="97"/>
        <v>1999446.01660262</v>
      </c>
      <c r="AC165" s="10">
        <f t="shared" si="97"/>
        <v>1996279.5018689283</v>
      </c>
    </row>
    <row r="166" spans="1:29" x14ac:dyDescent="0.7">
      <c r="A166" s="116" t="s">
        <v>43</v>
      </c>
      <c r="B166" s="10">
        <f>SUM(B118:B120,B122,B124:B129,B131,B133:B134)</f>
        <v>2169199.1952947499</v>
      </c>
      <c r="C166" s="10">
        <f t="shared" ref="C166:AC166" si="98">SUM(C118:C120,C122,C124:C129,C131,C133:C134)</f>
        <v>2131542.4606285808</v>
      </c>
      <c r="D166" s="10">
        <f t="shared" si="98"/>
        <v>2094972.6831853155</v>
      </c>
      <c r="E166" s="10">
        <f t="shared" si="98"/>
        <v>2057844.7536041108</v>
      </c>
      <c r="F166" s="10">
        <f t="shared" si="98"/>
        <v>2020836.9951419458</v>
      </c>
      <c r="G166" s="10">
        <f t="shared" si="98"/>
        <v>1983581.4730863839</v>
      </c>
      <c r="H166" s="10">
        <f t="shared" si="98"/>
        <v>1946372.8171664178</v>
      </c>
      <c r="I166" s="10">
        <f t="shared" si="98"/>
        <v>1909573.084511722</v>
      </c>
      <c r="J166" s="10">
        <f t="shared" si="98"/>
        <v>1873601.2424087916</v>
      </c>
      <c r="K166" s="10">
        <f t="shared" si="98"/>
        <v>1838857.3675319855</v>
      </c>
      <c r="L166" s="10">
        <f t="shared" si="98"/>
        <v>1806490.1732155592</v>
      </c>
      <c r="M166" s="10">
        <f t="shared" si="98"/>
        <v>1775728.0106946917</v>
      </c>
      <c r="N166" s="10">
        <f t="shared" si="98"/>
        <v>1745818.7757866026</v>
      </c>
      <c r="O166" s="10">
        <f t="shared" si="98"/>
        <v>1719316.3341814994</v>
      </c>
      <c r="P166" s="10">
        <f t="shared" si="98"/>
        <v>1694911.3783484956</v>
      </c>
      <c r="Q166" s="10">
        <f t="shared" si="98"/>
        <v>1672960.2291507584</v>
      </c>
      <c r="R166" s="10">
        <f t="shared" si="98"/>
        <v>1652455.7531589002</v>
      </c>
      <c r="S166" s="10">
        <f t="shared" si="98"/>
        <v>1634271.6632755564</v>
      </c>
      <c r="T166" s="10">
        <f t="shared" si="98"/>
        <v>1617014.9434300889</v>
      </c>
      <c r="U166" s="10">
        <f t="shared" si="98"/>
        <v>1601663.8771578849</v>
      </c>
      <c r="V166" s="10">
        <f t="shared" si="98"/>
        <v>1588360.1839624674</v>
      </c>
      <c r="W166" s="10">
        <f t="shared" si="98"/>
        <v>1576518.4032491879</v>
      </c>
      <c r="X166" s="10">
        <f t="shared" si="98"/>
        <v>1565909.010956428</v>
      </c>
      <c r="Y166" s="10">
        <f t="shared" si="98"/>
        <v>1555336.0361673858</v>
      </c>
      <c r="Z166" s="10">
        <f t="shared" si="98"/>
        <v>1545775.1557251369</v>
      </c>
      <c r="AA166" s="10">
        <f t="shared" si="98"/>
        <v>1536854.2779323489</v>
      </c>
      <c r="AB166" s="10">
        <f t="shared" si="98"/>
        <v>1528237.8629881698</v>
      </c>
      <c r="AC166" s="10">
        <f t="shared" si="98"/>
        <v>1520267.768227045</v>
      </c>
    </row>
    <row r="167" spans="1:29" x14ac:dyDescent="0.7">
      <c r="A167" s="116" t="s">
        <v>93</v>
      </c>
      <c r="B167" s="10">
        <f>SUM(B144:B146)</f>
        <v>110903.37603337824</v>
      </c>
      <c r="C167" s="10">
        <f t="shared" ref="C167:AC167" si="99">SUM(C144:C146)</f>
        <v>112750.00162933202</v>
      </c>
      <c r="D167" s="10">
        <f t="shared" si="99"/>
        <v>107840.93831550275</v>
      </c>
      <c r="E167" s="10">
        <f t="shared" si="99"/>
        <v>103497.47894293947</v>
      </c>
      <c r="F167" s="10">
        <f t="shared" si="99"/>
        <v>99154.019541118949</v>
      </c>
      <c r="G167" s="10">
        <f t="shared" si="99"/>
        <v>94810.560168555705</v>
      </c>
      <c r="H167" s="10">
        <f t="shared" si="99"/>
        <v>90467.100795992446</v>
      </c>
      <c r="I167" s="10">
        <f t="shared" si="99"/>
        <v>86123.641423429188</v>
      </c>
      <c r="J167" s="10">
        <f t="shared" si="99"/>
        <v>81780.182021608663</v>
      </c>
      <c r="K167" s="10">
        <f t="shared" si="99"/>
        <v>77436.722649045405</v>
      </c>
      <c r="L167" s="10">
        <f t="shared" si="99"/>
        <v>73093.263276482146</v>
      </c>
      <c r="M167" s="10">
        <f t="shared" si="99"/>
        <v>68749.803903918888</v>
      </c>
      <c r="N167" s="10">
        <f t="shared" si="99"/>
        <v>64406.344531355659</v>
      </c>
      <c r="O167" s="10">
        <f t="shared" si="99"/>
        <v>60062.885129535134</v>
      </c>
      <c r="P167" s="10">
        <f t="shared" si="99"/>
        <v>55719.425756971861</v>
      </c>
      <c r="Q167" s="10">
        <f t="shared" si="99"/>
        <v>51883.333598335783</v>
      </c>
      <c r="R167" s="10">
        <f t="shared" si="99"/>
        <v>52898.068026190173</v>
      </c>
      <c r="S167" s="10">
        <f t="shared" si="99"/>
        <v>53912.802424787289</v>
      </c>
      <c r="T167" s="10">
        <f t="shared" si="99"/>
        <v>54949.197517232074</v>
      </c>
      <c r="U167" s="10">
        <f t="shared" si="99"/>
        <v>55989.010021737326</v>
      </c>
      <c r="V167" s="10">
        <f t="shared" si="99"/>
        <v>57032.261924535298</v>
      </c>
      <c r="W167" s="10">
        <f t="shared" si="99"/>
        <v>58078.975499136119</v>
      </c>
      <c r="X167" s="10">
        <f t="shared" si="99"/>
        <v>59129.173072989797</v>
      </c>
      <c r="Y167" s="10">
        <f t="shared" si="99"/>
        <v>60182.877174497524</v>
      </c>
      <c r="Z167" s="10">
        <f t="shared" si="99"/>
        <v>61240.110445969374</v>
      </c>
      <c r="AA167" s="10">
        <f t="shared" si="99"/>
        <v>62300.895702873015</v>
      </c>
      <c r="AB167" s="10">
        <f t="shared" si="99"/>
        <v>63365.255876058298</v>
      </c>
      <c r="AC167" s="10">
        <f t="shared" si="99"/>
        <v>64433.214012500801</v>
      </c>
    </row>
    <row r="168" spans="1:29" x14ac:dyDescent="0.7">
      <c r="A168" s="116" t="s">
        <v>59</v>
      </c>
      <c r="B168" s="10">
        <f>SUM(B138:B141)</f>
        <v>136912.18570696271</v>
      </c>
      <c r="C168" s="10">
        <f t="shared" ref="C168:AC168" si="100">SUM(C138:C141)</f>
        <v>137304.00072087289</v>
      </c>
      <c r="D168" s="10">
        <f t="shared" si="100"/>
        <v>137695.81573478313</v>
      </c>
      <c r="E168" s="10">
        <f t="shared" si="100"/>
        <v>137978.45096782901</v>
      </c>
      <c r="F168" s="10">
        <f t="shared" si="100"/>
        <v>138261.08620087494</v>
      </c>
      <c r="G168" s="10">
        <f t="shared" si="100"/>
        <v>138543.72143392081</v>
      </c>
      <c r="H168" s="10">
        <f t="shared" si="100"/>
        <v>138826.35666696675</v>
      </c>
      <c r="I168" s="10">
        <f t="shared" si="100"/>
        <v>139108.99190001268</v>
      </c>
      <c r="J168" s="10">
        <f t="shared" si="100"/>
        <v>139262.5426281734</v>
      </c>
      <c r="K168" s="10">
        <f t="shared" si="100"/>
        <v>139416.09335633417</v>
      </c>
      <c r="L168" s="10">
        <f t="shared" si="100"/>
        <v>139569.64408449491</v>
      </c>
      <c r="M168" s="10">
        <f t="shared" si="100"/>
        <v>139723.19481265568</v>
      </c>
      <c r="N168" s="10">
        <f t="shared" si="100"/>
        <v>139876.74554081642</v>
      </c>
      <c r="O168" s="10">
        <f t="shared" si="100"/>
        <v>139888.62321095384</v>
      </c>
      <c r="P168" s="10">
        <f t="shared" si="100"/>
        <v>139900.50088109128</v>
      </c>
      <c r="Q168" s="10">
        <f t="shared" si="100"/>
        <v>139912.37855122876</v>
      </c>
      <c r="R168" s="10">
        <f t="shared" si="100"/>
        <v>139924.25622136617</v>
      </c>
      <c r="S168" s="10">
        <f t="shared" si="100"/>
        <v>139936.13389150359</v>
      </c>
      <c r="T168" s="10">
        <f t="shared" si="100"/>
        <v>139854.41196654303</v>
      </c>
      <c r="U168" s="10">
        <f t="shared" si="100"/>
        <v>139772.69004158251</v>
      </c>
      <c r="V168" s="10">
        <f t="shared" si="100"/>
        <v>139690.96811662192</v>
      </c>
      <c r="W168" s="10">
        <f t="shared" si="100"/>
        <v>139609.2461916614</v>
      </c>
      <c r="X168" s="10">
        <f t="shared" si="100"/>
        <v>139527.52426670081</v>
      </c>
      <c r="Y168" s="10">
        <f t="shared" si="100"/>
        <v>139354.86855789504</v>
      </c>
      <c r="Z168" s="10">
        <f t="shared" si="100"/>
        <v>139182.21284908932</v>
      </c>
      <c r="AA168" s="10">
        <f t="shared" si="100"/>
        <v>139009.55714028355</v>
      </c>
      <c r="AB168" s="10">
        <f t="shared" si="100"/>
        <v>138836.9014314778</v>
      </c>
      <c r="AC168" s="10">
        <f t="shared" si="100"/>
        <v>138664.24572267206</v>
      </c>
    </row>
    <row r="169" spans="1:29" x14ac:dyDescent="0.7">
      <c r="A169" s="116" t="s">
        <v>156</v>
      </c>
      <c r="B169" s="10">
        <f>SUM(B149:B151)</f>
        <v>-6994.4004026181337</v>
      </c>
      <c r="C169" s="10">
        <f t="shared" ref="C169:AC169" si="101">SUM(C149:C151)</f>
        <v>-6994.4004026181337</v>
      </c>
      <c r="D169" s="10">
        <f t="shared" si="101"/>
        <v>-6994.4004026181337</v>
      </c>
      <c r="E169" s="10">
        <f t="shared" si="101"/>
        <v>-6994.4004026181337</v>
      </c>
      <c r="F169" s="10">
        <f t="shared" si="101"/>
        <v>-6994.4004026181337</v>
      </c>
      <c r="G169" s="10">
        <f t="shared" si="101"/>
        <v>-6994.4004026181337</v>
      </c>
      <c r="H169" s="10">
        <f t="shared" si="101"/>
        <v>-6994.4004026181337</v>
      </c>
      <c r="I169" s="10">
        <f t="shared" si="101"/>
        <v>-6994.4004026181337</v>
      </c>
      <c r="J169" s="10">
        <f t="shared" si="101"/>
        <v>-6994.4004026181337</v>
      </c>
      <c r="K169" s="10">
        <f t="shared" si="101"/>
        <v>-6994.4004026181337</v>
      </c>
      <c r="L169" s="10">
        <f t="shared" si="101"/>
        <v>-6994.4004026181337</v>
      </c>
      <c r="M169" s="10">
        <f t="shared" si="101"/>
        <v>-6994.4004026181337</v>
      </c>
      <c r="N169" s="10">
        <f t="shared" si="101"/>
        <v>-6994.4004026181337</v>
      </c>
      <c r="O169" s="10">
        <f t="shared" si="101"/>
        <v>-6994.4004026181337</v>
      </c>
      <c r="P169" s="10">
        <f t="shared" si="101"/>
        <v>-6994.4004026181337</v>
      </c>
      <c r="Q169" s="10">
        <f t="shared" si="101"/>
        <v>-6994.4004026181337</v>
      </c>
      <c r="R169" s="10">
        <f t="shared" si="101"/>
        <v>-6994.4004026181337</v>
      </c>
      <c r="S169" s="10">
        <f t="shared" si="101"/>
        <v>-6994.4004026181337</v>
      </c>
      <c r="T169" s="10">
        <f t="shared" si="101"/>
        <v>-6994.4004026181337</v>
      </c>
      <c r="U169" s="10">
        <f t="shared" si="101"/>
        <v>-6994.4004026181337</v>
      </c>
      <c r="V169" s="10">
        <f t="shared" si="101"/>
        <v>-6994.4004026181337</v>
      </c>
      <c r="W169" s="10">
        <f t="shared" si="101"/>
        <v>-6994.4004026181337</v>
      </c>
      <c r="X169" s="10">
        <f t="shared" si="101"/>
        <v>-6994.4004026181337</v>
      </c>
      <c r="Y169" s="10">
        <f t="shared" si="101"/>
        <v>-6994.4004026181337</v>
      </c>
      <c r="Z169" s="10">
        <f t="shared" si="101"/>
        <v>-6994.4004026181337</v>
      </c>
      <c r="AA169" s="10">
        <f t="shared" si="101"/>
        <v>-6994.4004026181337</v>
      </c>
      <c r="AB169" s="10">
        <f t="shared" si="101"/>
        <v>-6994.4004026181337</v>
      </c>
      <c r="AC169" s="10">
        <f t="shared" si="101"/>
        <v>-6994.4004026181337</v>
      </c>
    </row>
    <row r="170" spans="1:29" x14ac:dyDescent="0.7">
      <c r="A170" s="116" t="s">
        <v>688</v>
      </c>
      <c r="B170" s="10">
        <f>B171</f>
        <v>5523225.6227587108</v>
      </c>
      <c r="C170" s="10">
        <f>$I$170+(($B$170-$I$170)/($B$164-$I$164))*(C148-$I$164)</f>
        <v>5267348.5504038837</v>
      </c>
      <c r="D170" s="10">
        <f t="shared" ref="D170:H170" si="102">$I$170+(($B$170-$I$170)/($B$164-$I$164))*(D148-$I$164)</f>
        <v>5011471.4780490566</v>
      </c>
      <c r="E170" s="10">
        <f t="shared" si="102"/>
        <v>4755594.4056942305</v>
      </c>
      <c r="F170" s="10">
        <f t="shared" si="102"/>
        <v>4499717.3333394034</v>
      </c>
      <c r="G170" s="10">
        <f t="shared" si="102"/>
        <v>4243840.2609845763</v>
      </c>
      <c r="H170" s="10">
        <f t="shared" si="102"/>
        <v>3987963.1886297497</v>
      </c>
      <c r="I170" s="404">
        <v>3732086.1162749226</v>
      </c>
      <c r="J170" s="10">
        <f>$AC$170-(($AC$170-$I$170)/($AC$164-$I$164))*($AC$164-J153)</f>
        <v>3558337.0140993088</v>
      </c>
      <c r="K170" s="10">
        <f t="shared" ref="K170:AB170" si="103">$AC$170-(($AC$170-$I$170)/($AC$164-$I$164))*($AC$164-K153)</f>
        <v>3384587.9119236949</v>
      </c>
      <c r="L170" s="10">
        <f t="shared" si="103"/>
        <v>3210838.809748081</v>
      </c>
      <c r="M170" s="10">
        <f t="shared" si="103"/>
        <v>3037089.7075724672</v>
      </c>
      <c r="N170" s="10">
        <f t="shared" si="103"/>
        <v>2863340.6053968533</v>
      </c>
      <c r="O170" s="10">
        <f t="shared" si="103"/>
        <v>2689591.5032212394</v>
      </c>
      <c r="P170" s="10">
        <f t="shared" si="103"/>
        <v>2515842.4010456256</v>
      </c>
      <c r="Q170" s="10">
        <f t="shared" si="103"/>
        <v>2342093.2988700112</v>
      </c>
      <c r="R170" s="10">
        <f t="shared" si="103"/>
        <v>2168344.1966943974</v>
      </c>
      <c r="S170" s="10">
        <f t="shared" si="103"/>
        <v>1994595.0945187835</v>
      </c>
      <c r="T170" s="10">
        <f t="shared" si="103"/>
        <v>1820845.9923431696</v>
      </c>
      <c r="U170" s="10">
        <f t="shared" si="103"/>
        <v>1647096.8901675558</v>
      </c>
      <c r="V170" s="10">
        <f t="shared" si="103"/>
        <v>1473347.7879919419</v>
      </c>
      <c r="W170" s="10">
        <f t="shared" si="103"/>
        <v>1299598.6858163278</v>
      </c>
      <c r="X170" s="10">
        <f t="shared" si="103"/>
        <v>1125849.5836407137</v>
      </c>
      <c r="Y170" s="10">
        <f t="shared" si="103"/>
        <v>952100.48146509996</v>
      </c>
      <c r="Z170" s="10">
        <f t="shared" si="103"/>
        <v>778351.37928948598</v>
      </c>
      <c r="AA170" s="10">
        <f t="shared" si="103"/>
        <v>604602.27711387211</v>
      </c>
      <c r="AB170" s="10">
        <f t="shared" si="103"/>
        <v>430853.17493825819</v>
      </c>
      <c r="AC170" s="404">
        <f>AC161</f>
        <v>257104.07276264427</v>
      </c>
    </row>
    <row r="171" spans="1:29" x14ac:dyDescent="0.7">
      <c r="A171" s="116" t="s">
        <v>68</v>
      </c>
      <c r="B171" s="10">
        <f>SUM(B165:B169)</f>
        <v>5523225.6227587108</v>
      </c>
      <c r="C171" s="10">
        <f t="shared" ref="C171:AC171" si="104">SUM(C165:C169)</f>
        <v>5428994.6129903356</v>
      </c>
      <c r="D171" s="10">
        <f t="shared" si="104"/>
        <v>5328971.5475277966</v>
      </c>
      <c r="E171" s="10">
        <f t="shared" si="104"/>
        <v>5221292.0176357087</v>
      </c>
      <c r="F171" s="10">
        <f t="shared" si="104"/>
        <v>5111223.6076229904</v>
      </c>
      <c r="G171" s="10">
        <f t="shared" si="104"/>
        <v>4998392.7008856181</v>
      </c>
      <c r="H171" s="10">
        <f t="shared" si="104"/>
        <v>4883086.5895453645</v>
      </c>
      <c r="I171" s="10">
        <f t="shared" si="104"/>
        <v>4765663.4180535395</v>
      </c>
      <c r="J171" s="10">
        <f t="shared" si="104"/>
        <v>4655432.5663803564</v>
      </c>
      <c r="K171" s="10">
        <f t="shared" si="104"/>
        <v>4543691.9325145623</v>
      </c>
      <c r="L171" s="10">
        <f t="shared" si="104"/>
        <v>4464724.505120622</v>
      </c>
      <c r="M171" s="10">
        <f t="shared" si="104"/>
        <v>4385653.9126027646</v>
      </c>
      <c r="N171" s="10">
        <f t="shared" si="104"/>
        <v>4305741.6422634562</v>
      </c>
      <c r="O171" s="10">
        <f t="shared" si="104"/>
        <v>4221882.8067203155</v>
      </c>
      <c r="P171" s="10">
        <f t="shared" si="104"/>
        <v>4138696.0388368345</v>
      </c>
      <c r="Q171" s="10">
        <f t="shared" si="104"/>
        <v>4056852.3789304988</v>
      </c>
      <c r="R171" s="10">
        <f t="shared" si="104"/>
        <v>3979474.2356169932</v>
      </c>
      <c r="S171" s="10">
        <f t="shared" si="104"/>
        <v>3902577.1925924402</v>
      </c>
      <c r="T171" s="10">
        <f t="shared" si="104"/>
        <v>3872255.1133824782</v>
      </c>
      <c r="U171" s="10">
        <f t="shared" si="104"/>
        <v>3843882.3853013418</v>
      </c>
      <c r="V171" s="10">
        <f t="shared" si="104"/>
        <v>3817595.3104541004</v>
      </c>
      <c r="W171" s="10">
        <f t="shared" si="104"/>
        <v>3792805.0506887683</v>
      </c>
      <c r="X171" s="10">
        <f t="shared" si="104"/>
        <v>3769282.926626442</v>
      </c>
      <c r="Y171" s="10">
        <f t="shared" si="104"/>
        <v>3756528.352896288</v>
      </c>
      <c r="Z171" s="10">
        <f t="shared" si="104"/>
        <v>3744787.7120939032</v>
      </c>
      <c r="AA171" s="10">
        <f t="shared" si="104"/>
        <v>3733689.7570089889</v>
      </c>
      <c r="AB171" s="10">
        <f t="shared" si="104"/>
        <v>3722891.6364957076</v>
      </c>
      <c r="AC171" s="10">
        <f t="shared" si="104"/>
        <v>3712650.329428528</v>
      </c>
    </row>
    <row r="172" spans="1:29" x14ac:dyDescent="0.7">
      <c r="B172" s="264"/>
    </row>
  </sheetData>
  <mergeCells count="13">
    <mergeCell ref="A18:F18"/>
    <mergeCell ref="A5:F5"/>
    <mergeCell ref="A11:F11"/>
    <mergeCell ref="A10:F10"/>
    <mergeCell ref="A9:F9"/>
    <mergeCell ref="A8:F8"/>
    <mergeCell ref="A12:F12"/>
    <mergeCell ref="A14:F14"/>
    <mergeCell ref="A3:F3"/>
    <mergeCell ref="A4:F4"/>
    <mergeCell ref="A6:F6"/>
    <mergeCell ref="A7:F7"/>
    <mergeCell ref="A13:F13"/>
  </mergeCells>
  <dataValidations count="1">
    <dataValidation type="list" allowBlank="1" showInputMessage="1" showErrorMessage="1" sqref="B17" xr:uid="{6FFC81B8-486D-4FF3-AA90-EF8CB71F59CA}">
      <formula1>"High,Low"</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09172-4FBD-4563-9A98-7C3E10E3510F}">
  <sheetPr codeName="Sheet10">
    <tabColor rgb="FFB8CCE4"/>
  </sheetPr>
  <dimension ref="A1:AE234"/>
  <sheetViews>
    <sheetView zoomScale="70" zoomScaleNormal="70" workbookViewId="0">
      <selection activeCell="D101" sqref="D101"/>
    </sheetView>
  </sheetViews>
  <sheetFormatPr defaultColWidth="13" defaultRowHeight="24" outlineLevelRow="1" x14ac:dyDescent="0.85"/>
  <cols>
    <col min="1" max="1" width="61.44140625" style="22" customWidth="1"/>
    <col min="2" max="2" width="32.88671875" style="22" bestFit="1" customWidth="1"/>
    <col min="3" max="3" width="28.44140625" style="22" customWidth="1"/>
    <col min="4" max="4" width="65.5546875" style="22" customWidth="1"/>
    <col min="5" max="5" width="28" style="22" customWidth="1"/>
    <col min="6" max="6" width="27.5546875" style="22" customWidth="1"/>
    <col min="7" max="7" width="20.88671875" style="22" customWidth="1"/>
    <col min="8" max="8" width="33.5546875" style="22" customWidth="1"/>
    <col min="9" max="24" width="22.44140625" style="22" customWidth="1"/>
    <col min="25" max="25" width="16.88671875" style="22" customWidth="1"/>
    <col min="26" max="26" width="17.5546875" style="22" customWidth="1"/>
    <col min="27" max="28" width="16.88671875" style="22" customWidth="1"/>
    <col min="29" max="29" width="22.88671875" style="22" customWidth="1"/>
    <col min="30" max="16384" width="13" style="133"/>
  </cols>
  <sheetData>
    <row r="1" spans="1:29" s="234" customFormat="1" ht="50.1" customHeight="1" x14ac:dyDescent="0.3">
      <c r="A1" s="349" t="s">
        <v>250</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50"/>
      <c r="AB1" s="350"/>
      <c r="AC1" s="351"/>
    </row>
    <row r="2" spans="1:29" s="234" customFormat="1" ht="30" customHeight="1" x14ac:dyDescent="0.3">
      <c r="A2" s="253" t="s">
        <v>36</v>
      </c>
      <c r="B2" s="254"/>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5"/>
    </row>
    <row r="3" spans="1:29" s="28" customFormat="1" ht="115.5" customHeight="1" outlineLevel="1" x14ac:dyDescent="0.3">
      <c r="A3" s="447" t="s">
        <v>507</v>
      </c>
      <c r="B3" s="447"/>
      <c r="C3" s="447"/>
      <c r="D3" s="447"/>
      <c r="E3" s="447"/>
      <c r="F3" s="447"/>
      <c r="G3" s="447"/>
      <c r="H3" s="447"/>
      <c r="I3" s="447"/>
    </row>
    <row r="4" spans="1:29" s="28" customFormat="1" ht="20.399999999999999" outlineLevel="1" x14ac:dyDescent="0.3">
      <c r="A4" s="447" t="s">
        <v>505</v>
      </c>
      <c r="B4" s="447"/>
      <c r="C4" s="447"/>
      <c r="D4" s="447"/>
      <c r="E4" s="447"/>
      <c r="F4" s="447"/>
      <c r="G4" s="447"/>
      <c r="H4" s="447"/>
      <c r="I4" s="447"/>
    </row>
    <row r="5" spans="1:29" s="28" customFormat="1" ht="20.399999999999999" outlineLevel="1" x14ac:dyDescent="0.3">
      <c r="A5" s="447" t="s">
        <v>506</v>
      </c>
      <c r="B5" s="447"/>
      <c r="C5" s="447"/>
      <c r="D5" s="447"/>
      <c r="E5" s="447"/>
      <c r="F5" s="447"/>
      <c r="G5" s="447"/>
      <c r="H5" s="447"/>
      <c r="I5" s="447"/>
    </row>
    <row r="6" spans="1:29" s="28" customFormat="1" ht="49.5" customHeight="1" outlineLevel="1" x14ac:dyDescent="0.3">
      <c r="A6" s="447" t="s">
        <v>514</v>
      </c>
      <c r="B6" s="447"/>
      <c r="C6" s="447"/>
      <c r="D6" s="447"/>
      <c r="E6" s="447"/>
      <c r="F6" s="447"/>
      <c r="G6" s="447"/>
      <c r="H6" s="447"/>
      <c r="I6" s="447"/>
    </row>
    <row r="7" spans="1:29" s="28" customFormat="1" ht="89.25" customHeight="1" outlineLevel="1" x14ac:dyDescent="0.3">
      <c r="A7" s="447" t="s">
        <v>655</v>
      </c>
      <c r="B7" s="447"/>
      <c r="C7" s="447"/>
      <c r="D7" s="447"/>
      <c r="E7" s="447"/>
      <c r="F7" s="447"/>
      <c r="G7" s="447"/>
      <c r="H7" s="447"/>
      <c r="I7" s="447"/>
    </row>
    <row r="8" spans="1:29" s="28" customFormat="1" ht="20.399999999999999" outlineLevel="1" x14ac:dyDescent="0.7">
      <c r="A8" s="440" t="s">
        <v>648</v>
      </c>
      <c r="B8" s="440"/>
      <c r="C8" s="440"/>
      <c r="D8" s="440"/>
      <c r="E8" s="440"/>
      <c r="F8" s="440"/>
      <c r="G8" s="440"/>
      <c r="H8" s="440"/>
      <c r="I8" s="440"/>
      <c r="J8" s="200"/>
      <c r="K8" s="200"/>
    </row>
    <row r="9" spans="1:29" s="28" customFormat="1" ht="20.399999999999999" outlineLevel="1" x14ac:dyDescent="0.7">
      <c r="A9" s="440" t="s">
        <v>508</v>
      </c>
      <c r="B9" s="440"/>
      <c r="C9" s="440"/>
      <c r="D9" s="440"/>
      <c r="E9" s="440"/>
      <c r="F9" s="440"/>
      <c r="G9" s="440"/>
      <c r="H9" s="440"/>
      <c r="I9" s="440"/>
      <c r="J9" s="200"/>
      <c r="K9" s="200"/>
    </row>
    <row r="10" spans="1:29" s="28" customFormat="1" ht="20.399999999999999" outlineLevel="1" x14ac:dyDescent="0.7">
      <c r="A10" s="440" t="s">
        <v>510</v>
      </c>
      <c r="B10" s="440"/>
      <c r="C10" s="440"/>
      <c r="D10" s="440"/>
      <c r="E10" s="440"/>
      <c r="F10" s="440"/>
      <c r="G10" s="440"/>
      <c r="H10" s="440"/>
      <c r="I10" s="440"/>
      <c r="J10" s="200"/>
      <c r="K10" s="200"/>
    </row>
    <row r="11" spans="1:29" s="28" customFormat="1" ht="20.399999999999999" outlineLevel="1" x14ac:dyDescent="0.7">
      <c r="A11" s="440" t="s">
        <v>511</v>
      </c>
      <c r="B11" s="440"/>
      <c r="C11" s="440"/>
      <c r="D11" s="440"/>
      <c r="E11" s="440"/>
      <c r="F11" s="440"/>
      <c r="G11" s="440"/>
      <c r="H11" s="440"/>
      <c r="I11" s="440"/>
      <c r="J11" s="200"/>
      <c r="K11" s="200"/>
    </row>
    <row r="12" spans="1:29" s="28" customFormat="1" ht="20.399999999999999" outlineLevel="1" x14ac:dyDescent="0.7">
      <c r="A12" s="440" t="s">
        <v>649</v>
      </c>
      <c r="B12" s="440"/>
      <c r="C12" s="440"/>
      <c r="D12" s="440"/>
      <c r="E12" s="440"/>
      <c r="F12" s="440"/>
      <c r="G12" s="440"/>
      <c r="H12" s="440"/>
      <c r="I12" s="440"/>
      <c r="J12" s="200"/>
      <c r="K12" s="200"/>
    </row>
    <row r="13" spans="1:29" s="28" customFormat="1" ht="69.75" customHeight="1" outlineLevel="1" x14ac:dyDescent="0.7">
      <c r="A13" s="440" t="s">
        <v>650</v>
      </c>
      <c r="B13" s="440"/>
      <c r="C13" s="440"/>
      <c r="D13" s="440"/>
      <c r="E13" s="440"/>
      <c r="F13" s="440"/>
      <c r="G13" s="440"/>
      <c r="H13" s="440"/>
      <c r="I13" s="440"/>
      <c r="J13" s="200"/>
      <c r="K13" s="200"/>
    </row>
    <row r="14" spans="1:29" s="28" customFormat="1" ht="48.75" customHeight="1" outlineLevel="1" x14ac:dyDescent="0.7">
      <c r="A14" s="440" t="s">
        <v>651</v>
      </c>
      <c r="B14" s="440"/>
      <c r="C14" s="440"/>
      <c r="D14" s="440"/>
      <c r="E14" s="440"/>
      <c r="F14" s="440"/>
      <c r="G14" s="440"/>
      <c r="H14" s="440"/>
      <c r="I14" s="440"/>
      <c r="J14" s="200"/>
      <c r="K14" s="200"/>
    </row>
    <row r="15" spans="1:29" s="28" customFormat="1" ht="25.35" customHeight="1" outlineLevel="1" x14ac:dyDescent="0.3">
      <c r="A15" s="447" t="s">
        <v>652</v>
      </c>
      <c r="B15" s="447"/>
      <c r="C15" s="447"/>
      <c r="D15" s="447"/>
      <c r="E15" s="447"/>
      <c r="F15" s="447"/>
      <c r="G15" s="447"/>
      <c r="H15" s="447"/>
      <c r="I15" s="447"/>
    </row>
    <row r="16" spans="1:29" s="28" customFormat="1" ht="25.35" customHeight="1" outlineLevel="1" x14ac:dyDescent="0.3">
      <c r="A16" s="447" t="s">
        <v>653</v>
      </c>
      <c r="B16" s="447"/>
      <c r="C16" s="447"/>
      <c r="D16" s="447"/>
      <c r="E16" s="447"/>
      <c r="F16" s="447"/>
      <c r="G16" s="447"/>
      <c r="H16" s="447"/>
      <c r="I16" s="447"/>
      <c r="K16" s="405"/>
    </row>
    <row r="17" spans="1:29" s="28" customFormat="1" ht="25.35" customHeight="1" outlineLevel="1" x14ac:dyDescent="0.3">
      <c r="A17" s="447" t="s">
        <v>654</v>
      </c>
      <c r="B17" s="447"/>
      <c r="C17" s="447"/>
      <c r="D17" s="447"/>
      <c r="E17" s="447"/>
      <c r="F17" s="447"/>
      <c r="G17" s="447"/>
      <c r="H17" s="447"/>
      <c r="I17" s="447"/>
      <c r="K17" s="405"/>
    </row>
    <row r="18" spans="1:29" s="235" customFormat="1" ht="25.35" customHeight="1" outlineLevel="1" x14ac:dyDescent="0.3">
      <c r="A18" s="448"/>
      <c r="B18" s="448"/>
      <c r="C18" s="448"/>
      <c r="D18" s="448"/>
      <c r="E18" s="448"/>
      <c r="F18" s="448"/>
      <c r="G18" s="28"/>
      <c r="H18" s="269"/>
      <c r="I18" s="28"/>
      <c r="J18" s="28"/>
      <c r="K18" s="28"/>
      <c r="L18" s="28"/>
      <c r="M18" s="28"/>
      <c r="N18" s="28"/>
      <c r="O18" s="28"/>
      <c r="P18" s="28"/>
      <c r="Q18" s="28"/>
      <c r="R18" s="28"/>
      <c r="S18" s="28"/>
      <c r="T18" s="28"/>
      <c r="U18" s="28"/>
      <c r="V18" s="28"/>
      <c r="W18" s="28"/>
      <c r="X18" s="28"/>
      <c r="Y18" s="28"/>
      <c r="Z18" s="28"/>
      <c r="AA18" s="28"/>
      <c r="AB18" s="28"/>
      <c r="AC18" s="28"/>
    </row>
    <row r="19" spans="1:29" s="234" customFormat="1" ht="30" customHeight="1" x14ac:dyDescent="0.3">
      <c r="A19" s="253" t="s">
        <v>133</v>
      </c>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5"/>
    </row>
    <row r="20" spans="1:29" s="236" customFormat="1" ht="26.4" x14ac:dyDescent="0.9">
      <c r="A20" s="77" t="s">
        <v>96</v>
      </c>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9"/>
    </row>
    <row r="21" spans="1:29" s="134" customFormat="1" x14ac:dyDescent="0.85">
      <c r="A21" s="201" t="s">
        <v>141</v>
      </c>
      <c r="B21" s="202"/>
      <c r="C21" s="202"/>
      <c r="D21" s="202"/>
      <c r="E21" s="202"/>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3"/>
    </row>
    <row r="22" spans="1:29" s="132" customFormat="1" x14ac:dyDescent="0.7">
      <c r="A22" s="256"/>
      <c r="B22" s="2">
        <v>2023</v>
      </c>
      <c r="C22" s="2">
        <v>2024</v>
      </c>
      <c r="D22" s="2">
        <v>2025</v>
      </c>
      <c r="E22" s="2">
        <v>2026</v>
      </c>
      <c r="F22" s="2">
        <v>2027</v>
      </c>
      <c r="G22" s="2">
        <v>2028</v>
      </c>
      <c r="H22" s="2">
        <v>2029</v>
      </c>
      <c r="I22" s="2">
        <v>2030</v>
      </c>
      <c r="J22" s="2">
        <v>2031</v>
      </c>
      <c r="K22" s="2">
        <v>2032</v>
      </c>
      <c r="L22" s="2">
        <v>2033</v>
      </c>
      <c r="M22" s="2">
        <v>2034</v>
      </c>
      <c r="N22" s="2">
        <v>2035</v>
      </c>
      <c r="O22" s="2">
        <v>2036</v>
      </c>
      <c r="P22" s="2">
        <v>2037</v>
      </c>
      <c r="Q22" s="2">
        <v>2038</v>
      </c>
      <c r="R22" s="2">
        <v>2039</v>
      </c>
      <c r="S22" s="2">
        <v>2040</v>
      </c>
      <c r="T22" s="2">
        <v>2041</v>
      </c>
      <c r="U22" s="2">
        <v>2042</v>
      </c>
      <c r="V22" s="2">
        <v>2043</v>
      </c>
      <c r="W22" s="2">
        <v>2044</v>
      </c>
      <c r="X22" s="2">
        <v>2045</v>
      </c>
      <c r="Y22" s="2">
        <v>2046</v>
      </c>
      <c r="Z22" s="2">
        <v>2047</v>
      </c>
      <c r="AA22" s="2">
        <v>2048</v>
      </c>
      <c r="AB22" s="2">
        <v>2049</v>
      </c>
      <c r="AC22" s="2">
        <v>2050</v>
      </c>
    </row>
    <row r="23" spans="1:29" s="31" customFormat="1" ht="20.399999999999999" x14ac:dyDescent="0.7">
      <c r="A23" s="135" t="s">
        <v>80</v>
      </c>
      <c r="B23" s="90">
        <v>3992487034.4893227</v>
      </c>
      <c r="C23" s="21">
        <f>B23*(1+'Forecast Parameters'!F15)</f>
        <v>4003912725.7444668</v>
      </c>
      <c r="D23" s="21">
        <f>C23*(1+'Forecast Parameters'!G15)</f>
        <v>4015338416.9996114</v>
      </c>
      <c r="E23" s="21">
        <f>D23*(1+'Forecast Parameters'!H15)</f>
        <v>4023580324.0117512</v>
      </c>
      <c r="F23" s="21">
        <f>E23*(1+'Forecast Parameters'!I15)</f>
        <v>4031822231.0238914</v>
      </c>
      <c r="G23" s="21">
        <f>F23*(1+'Forecast Parameters'!J15)</f>
        <v>4040064138.0360308</v>
      </c>
      <c r="H23" s="21">
        <f>G23*(1+'Forecast Parameters'!K15)</f>
        <v>4048306045.048171</v>
      </c>
      <c r="I23" s="21">
        <f>H23*(1+'Forecast Parameters'!L15)</f>
        <v>4056547952.0603113</v>
      </c>
      <c r="J23" s="21">
        <f>I23*(1+'Forecast Parameters'!M15)</f>
        <v>4061025634.5116768</v>
      </c>
      <c r="K23" s="21">
        <f>J23*(1+'Forecast Parameters'!N15)</f>
        <v>4065503316.9630427</v>
      </c>
      <c r="L23" s="21">
        <f>K23*(1+'Forecast Parameters'!O15)</f>
        <v>4069980999.4144087</v>
      </c>
      <c r="M23" s="21">
        <f>L23*(1+'Forecast Parameters'!P15)</f>
        <v>4074458681.8657751</v>
      </c>
      <c r="N23" s="21">
        <f>M23*(1+'Forecast Parameters'!Q15)</f>
        <v>4078936364.3171406</v>
      </c>
      <c r="O23" s="21">
        <f>N23*(1+'Forecast Parameters'!R15)</f>
        <v>4079282728.256762</v>
      </c>
      <c r="P23" s="21">
        <f>O23*(1+'Forecast Parameters'!S15)</f>
        <v>4079629092.1963835</v>
      </c>
      <c r="Q23" s="21">
        <f>P23*(1+'Forecast Parameters'!T15)</f>
        <v>4079975456.1360054</v>
      </c>
      <c r="R23" s="21">
        <f>Q23*(1+'Forecast Parameters'!U15)</f>
        <v>4080321820.0756264</v>
      </c>
      <c r="S23" s="21">
        <f>R23*(1+'Forecast Parameters'!V15)</f>
        <v>4080668184.0152478</v>
      </c>
      <c r="T23" s="21">
        <f>S23*(1+'Forecast Parameters'!W15)</f>
        <v>4078285096.4605951</v>
      </c>
      <c r="U23" s="21">
        <f>T23*(1+'Forecast Parameters'!X15)</f>
        <v>4075902008.9059429</v>
      </c>
      <c r="V23" s="21">
        <f>U23*(1+'Forecast Parameters'!Y15)</f>
        <v>4073518921.3512902</v>
      </c>
      <c r="W23" s="21">
        <f>V23*(1+'Forecast Parameters'!Z15)</f>
        <v>4071135833.796638</v>
      </c>
      <c r="X23" s="21">
        <f>W23*(1+'Forecast Parameters'!AA15)</f>
        <v>4068752746.2419853</v>
      </c>
      <c r="Y23" s="21">
        <f>X23*(1+'Forecast Parameters'!AB15)</f>
        <v>4063717944.7356172</v>
      </c>
      <c r="Z23" s="21">
        <f>Y23*(1+'Forecast Parameters'!AC15)</f>
        <v>4058683143.2292495</v>
      </c>
      <c r="AA23" s="21">
        <f>Z23*(1+'Forecast Parameters'!AD15)</f>
        <v>4053648341.7228813</v>
      </c>
      <c r="AB23" s="21">
        <f>AA23*(1+'Forecast Parameters'!AE15)</f>
        <v>4048613540.2165136</v>
      </c>
      <c r="AC23" s="21">
        <f>AB23*(1+'Forecast Parameters'!AF15)</f>
        <v>4043578738.7101455</v>
      </c>
    </row>
    <row r="24" spans="1:29" s="134" customFormat="1" x14ac:dyDescent="0.85">
      <c r="A24" s="89" t="s">
        <v>207</v>
      </c>
      <c r="B24" s="248"/>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50"/>
    </row>
    <row r="25" spans="1:29" s="31" customFormat="1" ht="20.399999999999999" x14ac:dyDescent="0.7">
      <c r="A25" s="135" t="s">
        <v>206</v>
      </c>
      <c r="B25" s="18">
        <f>(B202+(C202-(B186+C186)))/B23*B205</f>
        <v>1.5420241580039287E-2</v>
      </c>
      <c r="C25" s="18">
        <f>B25+IF('Business As Usual'!$B$17="Low",('Forecast Parameters'!E191-'Forecast Parameters'!D191),('Forecast Parameters'!E184-'Forecast Parameters'!D184))*SUM($B$25:$B$32)</f>
        <v>1.7374651213824928E-2</v>
      </c>
      <c r="D25" s="18">
        <f>C25+IF('Business As Usual'!$B$17="Low",('Forecast Parameters'!F191-'Forecast Parameters'!E191),('Forecast Parameters'!F184-'Forecast Parameters'!E184))*SUM($B$25:$B$32)</f>
        <v>1.9548129686842931E-2</v>
      </c>
      <c r="E25" s="18">
        <f>D25+IF('Business As Usual'!$B$17="Low",('Forecast Parameters'!G191-'Forecast Parameters'!F191),('Forecast Parameters'!G184-'Forecast Parameters'!F184))*SUM($B$25:$B$32)</f>
        <v>2.1972064298656096E-2</v>
      </c>
      <c r="F25" s="18">
        <f>E25+IF('Business As Usual'!$B$17="Low",('Forecast Parameters'!H191-'Forecast Parameters'!G191),('Forecast Parameters'!H184-'Forecast Parameters'!G184))*SUM($B$25:$B$32)</f>
        <v>2.4345826098570118E-2</v>
      </c>
      <c r="G25" s="18">
        <f>F25+IF('Business As Usual'!$B$17="Low",('Forecast Parameters'!I191-'Forecast Parameters'!H191),('Forecast Parameters'!I184-'Forecast Parameters'!H184))*SUM($B$25:$B$32)</f>
        <v>2.6609034761724087E-2</v>
      </c>
      <c r="H25" s="18">
        <f>G25+IF('Business As Usual'!$B$17="Low",('Forecast Parameters'!J191-'Forecast Parameters'!I191),('Forecast Parameters'!J184-'Forecast Parameters'!I184))*SUM($B$25:$B$32)</f>
        <v>2.8781711666361613E-2</v>
      </c>
      <c r="I25" s="18">
        <f>H25+IF('Business As Usual'!$B$17="Low",('Forecast Parameters'!K191-'Forecast Parameters'!J191),('Forecast Parameters'!K184-'Forecast Parameters'!J184))*SUM($B$25:$B$32)</f>
        <v>3.0927208482420122E-2</v>
      </c>
      <c r="J25" s="18">
        <f>I25+IF('Business As Usual'!$B$17="Low",('Forecast Parameters'!L191-'Forecast Parameters'!K191),('Forecast Parameters'!L184-'Forecast Parameters'!K184))*SUM($B$25:$B$32)</f>
        <v>3.3037415003464674E-2</v>
      </c>
      <c r="K25" s="18">
        <f>J25+IF('Business As Usual'!$B$17="Low",('Forecast Parameters'!M191-'Forecast Parameters'!L191),('Forecast Parameters'!M184-'Forecast Parameters'!L184))*SUM($B$25:$B$32)</f>
        <v>3.5029102569548193E-2</v>
      </c>
      <c r="L25" s="18">
        <f>K25+IF('Business As Usual'!$B$17="Low",('Forecast Parameters'!N191-'Forecast Parameters'!M191),('Forecast Parameters'!N184-'Forecast Parameters'!M184))*SUM($B$25:$B$32)</f>
        <v>3.6925623199689644E-2</v>
      </c>
      <c r="M25" s="18">
        <f>L25+IF('Business As Usual'!$B$17="Low",('Forecast Parameters'!O191-'Forecast Parameters'!N191),('Forecast Parameters'!O184-'Forecast Parameters'!N184))*SUM($B$25:$B$32)</f>
        <v>3.8704652595461825E-2</v>
      </c>
      <c r="N25" s="18">
        <f>M25+IF('Business As Usual'!$B$17="Low",('Forecast Parameters'!P191-'Forecast Parameters'!O191),('Forecast Parameters'!P184-'Forecast Parameters'!O184))*SUM($B$25:$B$32)</f>
        <v>4.0332009275428418E-2</v>
      </c>
      <c r="O25" s="18">
        <f>N25+IF('Business As Usual'!$B$17="Low",('Forecast Parameters'!Q191-'Forecast Parameters'!P191),('Forecast Parameters'!Q184-'Forecast Parameters'!P184))*SUM($B$25:$B$32)</f>
        <v>4.2010657808902951E-2</v>
      </c>
      <c r="P25" s="18">
        <f>O25+IF('Business As Usual'!$B$17="Low",('Forecast Parameters'!R191-'Forecast Parameters'!Q191),('Forecast Parameters'!R184-'Forecast Parameters'!Q184))*SUM($B$25:$B$32)</f>
        <v>4.3500859656634659E-2</v>
      </c>
      <c r="Q25" s="18">
        <f>P25+IF('Business As Usual'!$B$17="Low",('Forecast Parameters'!S191-'Forecast Parameters'!R191),('Forecast Parameters'!S184-'Forecast Parameters'!R184))*SUM($B$25:$B$32)</f>
        <v>4.4796154451165464E-2</v>
      </c>
      <c r="R25" s="18">
        <f>Q25+IF('Business As Usual'!$B$17="Low",('Forecast Parameters'!T191-'Forecast Parameters'!S191),('Forecast Parameters'!T184-'Forecast Parameters'!S184))*SUM($B$25:$B$32)</f>
        <v>4.5958487866887596E-2</v>
      </c>
      <c r="S25" s="18">
        <f>R25+IF('Business As Usual'!$B$17="Low",('Forecast Parameters'!U191-'Forecast Parameters'!T191),('Forecast Parameters'!U184-'Forecast Parameters'!T184))*SUM($B$25:$B$32)</f>
        <v>4.7002169740166501E-2</v>
      </c>
      <c r="T25" s="18">
        <f>S25+IF('Business As Usual'!$B$17="Low",('Forecast Parameters'!V191-'Forecast Parameters'!U191),('Forecast Parameters'!V184-'Forecast Parameters'!U184))*SUM($B$25:$B$32)</f>
        <v>4.8073268953738479E-2</v>
      </c>
      <c r="U25" s="18">
        <f>T25+IF('Business As Usual'!$B$17="Low",('Forecast Parameters'!W191-'Forecast Parameters'!V191),('Forecast Parameters'!W184-'Forecast Parameters'!V184))*SUM($B$25:$B$32)</f>
        <v>4.9068948006458078E-2</v>
      </c>
      <c r="V25" s="18">
        <f>U25+IF('Business As Usual'!$B$17="Low",('Forecast Parameters'!X191-'Forecast Parameters'!W191),('Forecast Parameters'!X184-'Forecast Parameters'!W184))*SUM($B$25:$B$32)</f>
        <v>5.0025556432983911E-2</v>
      </c>
      <c r="W25" s="18">
        <f>V25+IF('Business As Usual'!$B$17="Low",('Forecast Parameters'!Y191-'Forecast Parameters'!X191),('Forecast Parameters'!Y184-'Forecast Parameters'!X184))*SUM($B$25:$B$32)</f>
        <v>5.0959142524245979E-2</v>
      </c>
      <c r="X25" s="18">
        <f>W25+IF('Business As Usual'!$B$17="Low",('Forecast Parameters'!Z191-'Forecast Parameters'!Y191),('Forecast Parameters'!Z184-'Forecast Parameters'!Y184))*SUM($B$25:$B$32)</f>
        <v>5.1862583311663678E-2</v>
      </c>
      <c r="Y25" s="18">
        <f>X25+IF('Business As Usual'!$B$17="Low",('Forecast Parameters'!AA191-'Forecast Parameters'!Z191),('Forecast Parameters'!AA184-'Forecast Parameters'!Z184))*SUM($B$25:$B$32)</f>
        <v>5.2780225073287126E-2</v>
      </c>
      <c r="Z25" s="18">
        <f>Y25+IF('Business As Usual'!$B$17="Low",('Forecast Parameters'!AB191-'Forecast Parameters'!AA191),('Forecast Parameters'!AB184-'Forecast Parameters'!AA184))*SUM($B$25:$B$32)</f>
        <v>5.3720233710352741E-2</v>
      </c>
      <c r="AA25" s="18">
        <f>Z25+IF('Business As Usual'!$B$17="Low",('Forecast Parameters'!AC191-'Forecast Parameters'!AB191),('Forecast Parameters'!AC184-'Forecast Parameters'!AB184))*SUM($B$25:$B$32)</f>
        <v>5.4649966745061715E-2</v>
      </c>
      <c r="AB25" s="18">
        <f>AA25+IF('Business As Usual'!$B$17="Low",('Forecast Parameters'!AD191-'Forecast Parameters'!AC191),('Forecast Parameters'!AD184-'Forecast Parameters'!AC184))*SUM($B$25:$B$32)</f>
        <v>5.5575442767549381E-2</v>
      </c>
      <c r="AC25" s="18">
        <f>AB25+IF('Business As Usual'!$B$17="Low",('Forecast Parameters'!AE191-'Forecast Parameters'!AD191),('Forecast Parameters'!AE184-'Forecast Parameters'!AD184))*SUM($B$25:$B$32)</f>
        <v>5.6532624017747876E-2</v>
      </c>
    </row>
    <row r="26" spans="1:29" s="32" customFormat="1" ht="20.399999999999999" x14ac:dyDescent="0.3">
      <c r="A26" s="135" t="s">
        <v>44</v>
      </c>
      <c r="B26" s="27">
        <f>B184/$B$23</f>
        <v>0.56068631181767126</v>
      </c>
      <c r="C26" s="20">
        <f>B26-(C25-B25)*($B$26/SUM($B$26:$B$32))</f>
        <v>0.55902174995410825</v>
      </c>
      <c r="D26" s="20">
        <f t="shared" ref="D26:AC26" si="0">C26-(D25-C25)*($B$26/SUM($B$26:$B$32))</f>
        <v>0.55717060814897235</v>
      </c>
      <c r="E26" s="20">
        <f t="shared" si="0"/>
        <v>0.55510615398089747</v>
      </c>
      <c r="F26" s="20">
        <f t="shared" si="0"/>
        <v>0.55308443177025424</v>
      </c>
      <c r="G26" s="20">
        <f t="shared" si="0"/>
        <v>0.5511568671671907</v>
      </c>
      <c r="H26" s="20">
        <f t="shared" si="0"/>
        <v>0.54930640805422648</v>
      </c>
      <c r="I26" s="20">
        <f t="shared" si="0"/>
        <v>0.54747909810002349</v>
      </c>
      <c r="J26" s="20">
        <f t="shared" si="0"/>
        <v>0.54568184473079562</v>
      </c>
      <c r="K26" s="20">
        <f t="shared" si="0"/>
        <v>0.54398553342055422</v>
      </c>
      <c r="L26" s="20">
        <f t="shared" si="0"/>
        <v>0.54237027536010396</v>
      </c>
      <c r="M26" s="20">
        <f t="shared" si="0"/>
        <v>0.54085508405365101</v>
      </c>
      <c r="N26" s="20">
        <f t="shared" si="0"/>
        <v>0.5394690717146513</v>
      </c>
      <c r="O26" s="20">
        <f t="shared" si="0"/>
        <v>0.53803937433553262</v>
      </c>
      <c r="P26" s="20">
        <f t="shared" si="0"/>
        <v>0.53677017614807765</v>
      </c>
      <c r="Q26" s="20">
        <f t="shared" si="0"/>
        <v>0.53566697941809049</v>
      </c>
      <c r="R26" s="20">
        <f t="shared" si="0"/>
        <v>0.53467702529429284</v>
      </c>
      <c r="S26" s="20">
        <f t="shared" si="0"/>
        <v>0.53378812615364191</v>
      </c>
      <c r="T26" s="20">
        <f t="shared" si="0"/>
        <v>0.53287587578801576</v>
      </c>
      <c r="U26" s="20">
        <f t="shared" si="0"/>
        <v>0.5320278604329669</v>
      </c>
      <c r="V26" s="20">
        <f t="shared" si="0"/>
        <v>0.53121312135389598</v>
      </c>
      <c r="W26" s="20">
        <f t="shared" si="0"/>
        <v>0.53041799029385428</v>
      </c>
      <c r="X26" s="20">
        <f t="shared" si="0"/>
        <v>0.52964853385303134</v>
      </c>
      <c r="Y26" s="20">
        <f t="shared" si="0"/>
        <v>0.5288669825065756</v>
      </c>
      <c r="Z26" s="20">
        <f t="shared" si="0"/>
        <v>0.52806638139326223</v>
      </c>
      <c r="AA26" s="20">
        <f t="shared" si="0"/>
        <v>0.52727453196409546</v>
      </c>
      <c r="AB26" s="20">
        <f t="shared" si="0"/>
        <v>0.52648630821302289</v>
      </c>
      <c r="AC26" s="20">
        <f t="shared" si="0"/>
        <v>0.52567108126261541</v>
      </c>
    </row>
    <row r="27" spans="1:29" s="32" customFormat="1" ht="20.399999999999999" x14ac:dyDescent="0.3">
      <c r="A27" s="135" t="s">
        <v>253</v>
      </c>
      <c r="B27" s="27">
        <f>B185/$B$23</f>
        <v>8.0960081428267903E-3</v>
      </c>
      <c r="C27" s="20">
        <f>B27-(C25-B25)*($B$27/SUM($B$26:$B$32))</f>
        <v>8.0719727666857949E-3</v>
      </c>
      <c r="D27" s="20">
        <f t="shared" ref="D27:AC27" si="1">C27-(D25-C25)*($B$27/SUM($B$26:$B$32))</f>
        <v>8.0452432767517141E-3</v>
      </c>
      <c r="E27" s="20">
        <f t="shared" si="1"/>
        <v>8.0154336712683141E-3</v>
      </c>
      <c r="F27" s="20">
        <f t="shared" si="1"/>
        <v>7.9862410922184723E-3</v>
      </c>
      <c r="G27" s="20">
        <f t="shared" si="1"/>
        <v>7.9584080982728275E-3</v>
      </c>
      <c r="H27" s="20">
        <f t="shared" si="1"/>
        <v>7.9316884660457464E-3</v>
      </c>
      <c r="I27" s="20">
        <f t="shared" si="1"/>
        <v>7.905303095194197E-3</v>
      </c>
      <c r="J27" s="20">
        <f t="shared" si="1"/>
        <v>7.8793517252297319E-3</v>
      </c>
      <c r="K27" s="20">
        <f t="shared" si="1"/>
        <v>7.8548579041910812E-3</v>
      </c>
      <c r="L27" s="20">
        <f t="shared" si="1"/>
        <v>7.8315344483931727E-3</v>
      </c>
      <c r="M27" s="20">
        <f t="shared" si="1"/>
        <v>7.8096559025888079E-3</v>
      </c>
      <c r="N27" s="20">
        <f t="shared" si="1"/>
        <v>7.7896426314493306E-3</v>
      </c>
      <c r="O27" s="20">
        <f t="shared" si="1"/>
        <v>7.7689985718759859E-3</v>
      </c>
      <c r="P27" s="20">
        <f t="shared" si="1"/>
        <v>7.7506720341240917E-3</v>
      </c>
      <c r="Q27" s="20">
        <f t="shared" si="1"/>
        <v>7.7347424679462392E-3</v>
      </c>
      <c r="R27" s="20">
        <f t="shared" si="1"/>
        <v>7.7204480639660377E-3</v>
      </c>
      <c r="S27" s="20">
        <f t="shared" si="1"/>
        <v>7.7076128394756591E-3</v>
      </c>
      <c r="T27" s="20">
        <f t="shared" si="1"/>
        <v>7.6944404358825292E-3</v>
      </c>
      <c r="U27" s="20">
        <f t="shared" si="1"/>
        <v>7.6821955512206223E-3</v>
      </c>
      <c r="V27" s="20">
        <f t="shared" si="1"/>
        <v>7.6704311580485223E-3</v>
      </c>
      <c r="W27" s="20">
        <f t="shared" si="1"/>
        <v>7.658949894102836E-3</v>
      </c>
      <c r="X27" s="20">
        <f t="shared" si="1"/>
        <v>7.6478393578205111E-3</v>
      </c>
      <c r="Y27" s="20">
        <f t="shared" si="1"/>
        <v>7.6365541776197855E-3</v>
      </c>
      <c r="Z27" s="20">
        <f t="shared" si="1"/>
        <v>7.6249939290531157E-3</v>
      </c>
      <c r="AA27" s="20">
        <f t="shared" si="1"/>
        <v>7.6135600500885229E-3</v>
      </c>
      <c r="AB27" s="20">
        <f t="shared" si="1"/>
        <v>7.6021785239614352E-3</v>
      </c>
      <c r="AC27" s="20">
        <f t="shared" si="1"/>
        <v>7.5904070861901908E-3</v>
      </c>
    </row>
    <row r="28" spans="1:29" s="32" customFormat="1" ht="20.399999999999999" x14ac:dyDescent="0.3">
      <c r="A28" s="135" t="s">
        <v>264</v>
      </c>
      <c r="B28" s="27">
        <f>B186/$B$23</f>
        <v>2.0543063032762206E-3</v>
      </c>
      <c r="C28" s="20">
        <f>B28-(C25-B25)*($B$28/SUM($B$26:$B$32))</f>
        <v>2.0482074921291732E-3</v>
      </c>
      <c r="D28" s="20">
        <f t="shared" ref="D28:AC28" si="2">C28-(D25-C25)*($B$28/SUM($B$26:$B$32))</f>
        <v>2.041425068163408E-3</v>
      </c>
      <c r="E28" s="20">
        <f t="shared" si="2"/>
        <v>2.0338610860919492E-3</v>
      </c>
      <c r="F28" s="20">
        <f t="shared" si="2"/>
        <v>2.0264536702281062E-3</v>
      </c>
      <c r="G28" s="20">
        <f t="shared" si="2"/>
        <v>2.0193912397200235E-3</v>
      </c>
      <c r="H28" s="20">
        <f t="shared" si="2"/>
        <v>2.0126113170795125E-3</v>
      </c>
      <c r="I28" s="20">
        <f t="shared" si="2"/>
        <v>2.0059162109607467E-3</v>
      </c>
      <c r="J28" s="20">
        <f t="shared" si="2"/>
        <v>1.9993312295778056E-3</v>
      </c>
      <c r="K28" s="20">
        <f t="shared" si="2"/>
        <v>1.9931160911956136E-3</v>
      </c>
      <c r="L28" s="20">
        <f t="shared" si="2"/>
        <v>1.9871979249321222E-3</v>
      </c>
      <c r="M28" s="20">
        <f t="shared" si="2"/>
        <v>1.9816463946273699E-3</v>
      </c>
      <c r="N28" s="20">
        <f t="shared" si="2"/>
        <v>1.9765681649213597E-3</v>
      </c>
      <c r="O28" s="20">
        <f t="shared" si="2"/>
        <v>1.9713298769949441E-3</v>
      </c>
      <c r="P28" s="20">
        <f t="shared" si="2"/>
        <v>1.9666796442683004E-3</v>
      </c>
      <c r="Q28" s="20">
        <f t="shared" si="2"/>
        <v>1.9626376265689219E-3</v>
      </c>
      <c r="R28" s="20">
        <f t="shared" si="2"/>
        <v>1.9590105200146726E-3</v>
      </c>
      <c r="S28" s="20">
        <f t="shared" si="2"/>
        <v>1.9557536702055588E-3</v>
      </c>
      <c r="T28" s="20">
        <f t="shared" si="2"/>
        <v>1.9524112635215139E-3</v>
      </c>
      <c r="U28" s="20">
        <f t="shared" si="2"/>
        <v>1.9493042083777844E-3</v>
      </c>
      <c r="V28" s="20">
        <f t="shared" si="2"/>
        <v>1.946319074640107E-3</v>
      </c>
      <c r="W28" s="20">
        <f t="shared" si="2"/>
        <v>1.9434057829935195E-3</v>
      </c>
      <c r="X28" s="20">
        <f t="shared" si="2"/>
        <v>1.9405865609380447E-3</v>
      </c>
      <c r="Y28" s="20">
        <f t="shared" si="2"/>
        <v>1.9377230241911729E-3</v>
      </c>
      <c r="Z28" s="20">
        <f t="shared" si="2"/>
        <v>1.9347896907410342E-3</v>
      </c>
      <c r="AA28" s="20">
        <f t="shared" si="2"/>
        <v>1.9318884227070251E-3</v>
      </c>
      <c r="AB28" s="20">
        <f t="shared" si="2"/>
        <v>1.9290004388449417E-3</v>
      </c>
      <c r="AC28" s="20">
        <f t="shared" si="2"/>
        <v>1.9260135175887523E-3</v>
      </c>
    </row>
    <row r="29" spans="1:29" s="32" customFormat="1" ht="20.399999999999999" x14ac:dyDescent="0.3">
      <c r="A29" s="135" t="s">
        <v>55</v>
      </c>
      <c r="B29" s="27">
        <f>C184/$B$23</f>
        <v>6.3198035551166445E-2</v>
      </c>
      <c r="C29" s="20">
        <f>B29-(C25-B25)*($B$29/SUM($B$26:$B$32))</f>
        <v>6.3010413635643775E-2</v>
      </c>
      <c r="D29" s="20">
        <f t="shared" ref="D29:AC29" si="3">C29-(D25-C25)*($B$29/SUM($B$26:$B$32))</f>
        <v>6.2801761269524886E-2</v>
      </c>
      <c r="E29" s="20">
        <f t="shared" si="3"/>
        <v>6.2569065294685075E-2</v>
      </c>
      <c r="F29" s="20">
        <f t="shared" si="3"/>
        <v>6.2341185873608068E-2</v>
      </c>
      <c r="G29" s="20">
        <f t="shared" si="3"/>
        <v>6.2123919473940387E-2</v>
      </c>
      <c r="H29" s="20">
        <f t="shared" si="3"/>
        <v>6.1915344057808019E-2</v>
      </c>
      <c r="I29" s="20">
        <f t="shared" si="3"/>
        <v>6.1709377910579732E-2</v>
      </c>
      <c r="J29" s="20">
        <f t="shared" si="3"/>
        <v>6.1506799606225022E-2</v>
      </c>
      <c r="K29" s="20">
        <f t="shared" si="3"/>
        <v>6.1315599036082802E-2</v>
      </c>
      <c r="L29" s="20">
        <f t="shared" si="3"/>
        <v>6.1133534423166339E-2</v>
      </c>
      <c r="M29" s="20">
        <f t="shared" si="3"/>
        <v>6.0962748884026634E-2</v>
      </c>
      <c r="N29" s="20">
        <f t="shared" si="3"/>
        <v>6.0806523816233388E-2</v>
      </c>
      <c r="O29" s="20">
        <f t="shared" si="3"/>
        <v>6.0645374767489831E-2</v>
      </c>
      <c r="P29" s="20">
        <f t="shared" si="3"/>
        <v>6.0502316464689065E-2</v>
      </c>
      <c r="Q29" s="20">
        <f t="shared" si="3"/>
        <v>6.037796909844851E-2</v>
      </c>
      <c r="R29" s="20">
        <f t="shared" si="3"/>
        <v>6.0266385928695411E-2</v>
      </c>
      <c r="S29" s="20">
        <f t="shared" si="3"/>
        <v>6.0166193221457484E-2</v>
      </c>
      <c r="T29" s="20">
        <f t="shared" si="3"/>
        <v>6.0063368469322011E-2</v>
      </c>
      <c r="U29" s="20">
        <f t="shared" si="3"/>
        <v>5.9967783998243041E-2</v>
      </c>
      <c r="V29" s="20">
        <f t="shared" si="3"/>
        <v>5.9875950279104924E-2</v>
      </c>
      <c r="W29" s="20">
        <f t="shared" si="3"/>
        <v>5.9786326687550767E-2</v>
      </c>
      <c r="X29" s="20">
        <f t="shared" si="3"/>
        <v>5.9699597023427954E-2</v>
      </c>
      <c r="Y29" s="20">
        <f t="shared" si="3"/>
        <v>5.9611504076021685E-2</v>
      </c>
      <c r="Z29" s="20">
        <f t="shared" si="3"/>
        <v>5.9521263924701674E-2</v>
      </c>
      <c r="AA29" s="20">
        <f t="shared" si="3"/>
        <v>5.9432010223798189E-2</v>
      </c>
      <c r="AB29" s="20">
        <f t="shared" si="3"/>
        <v>5.9343165192998225E-2</v>
      </c>
      <c r="AC29" s="20">
        <f t="shared" si="3"/>
        <v>5.9251276483200596E-2</v>
      </c>
    </row>
    <row r="30" spans="1:29" s="32" customFormat="1" ht="20.399999999999999" x14ac:dyDescent="0.3">
      <c r="A30" s="135" t="s">
        <v>254</v>
      </c>
      <c r="B30" s="27">
        <f>C185/$B$23</f>
        <v>8.9955646031408788E-4</v>
      </c>
      <c r="C30" s="20">
        <f>B30-(C25-B25)*($B$30/SUM($B$26:$B$32))</f>
        <v>8.9688586296508843E-4</v>
      </c>
      <c r="D30" s="20">
        <f t="shared" ref="D30:AC30" si="4">C30-(D25-C25)*($B$30/SUM($B$26:$B$32))</f>
        <v>8.9391591963907952E-4</v>
      </c>
      <c r="E30" s="20">
        <f t="shared" si="4"/>
        <v>8.9060374125203513E-4</v>
      </c>
      <c r="F30" s="20">
        <f t="shared" si="4"/>
        <v>8.8736012135760833E-4</v>
      </c>
      <c r="G30" s="20">
        <f t="shared" si="4"/>
        <v>8.8426756647475902E-4</v>
      </c>
      <c r="H30" s="20">
        <f t="shared" si="4"/>
        <v>8.8129871844952782E-4</v>
      </c>
      <c r="I30" s="20">
        <f t="shared" si="4"/>
        <v>8.7836701057713348E-4</v>
      </c>
      <c r="J30" s="20">
        <f t="shared" si="4"/>
        <v>8.7548352502552624E-4</v>
      </c>
      <c r="K30" s="20">
        <f t="shared" si="4"/>
        <v>8.7276198935456507E-4</v>
      </c>
      <c r="L30" s="20">
        <f t="shared" si="4"/>
        <v>8.7017049426590855E-4</v>
      </c>
      <c r="M30" s="20">
        <f t="shared" si="4"/>
        <v>8.6773954473209024E-4</v>
      </c>
      <c r="N30" s="20">
        <f t="shared" si="4"/>
        <v>8.6551584793881505E-4</v>
      </c>
      <c r="O30" s="20">
        <f t="shared" si="4"/>
        <v>8.6322206354177674E-4</v>
      </c>
      <c r="P30" s="20">
        <f t="shared" si="4"/>
        <v>8.6118578156934406E-4</v>
      </c>
      <c r="Q30" s="20">
        <f t="shared" si="4"/>
        <v>8.5941582977180485E-4</v>
      </c>
      <c r="R30" s="20">
        <f t="shared" si="4"/>
        <v>8.5782756266289362E-4</v>
      </c>
      <c r="S30" s="20">
        <f t="shared" si="4"/>
        <v>8.5640142660840714E-4</v>
      </c>
      <c r="T30" s="20">
        <f t="shared" si="4"/>
        <v>8.5493782620917047E-4</v>
      </c>
      <c r="U30" s="20">
        <f t="shared" si="4"/>
        <v>8.535772834689586E-4</v>
      </c>
      <c r="V30" s="20">
        <f t="shared" si="4"/>
        <v>8.522701286720586E-4</v>
      </c>
      <c r="W30" s="20">
        <f t="shared" si="4"/>
        <v>8.5099443267809343E-4</v>
      </c>
      <c r="X30" s="20">
        <f t="shared" si="4"/>
        <v>8.4975992864672392E-4</v>
      </c>
      <c r="Y30" s="20">
        <f t="shared" si="4"/>
        <v>8.4850601973553218E-4</v>
      </c>
      <c r="Z30" s="20">
        <f t="shared" si="4"/>
        <v>8.4722154767256886E-4</v>
      </c>
      <c r="AA30" s="20">
        <f t="shared" si="4"/>
        <v>8.4595111667650305E-4</v>
      </c>
      <c r="AB30" s="20">
        <f t="shared" si="4"/>
        <v>8.4468650266238219E-4</v>
      </c>
      <c r="AC30" s="20">
        <f t="shared" si="4"/>
        <v>8.4337856513224394E-4</v>
      </c>
    </row>
    <row r="31" spans="1:29" s="32" customFormat="1" ht="20.399999999999999" x14ac:dyDescent="0.3">
      <c r="A31" s="135" t="s">
        <v>265</v>
      </c>
      <c r="B31" s="27">
        <f>C186/$B$23</f>
        <v>2.2825625591958005E-4</v>
      </c>
      <c r="C31" s="20">
        <f>B31-(C25-B25)*($B$31/SUM($B$26:$B$32))</f>
        <v>2.2757861023657474E-4</v>
      </c>
      <c r="D31" s="20">
        <f t="shared" ref="D31:AC31" si="5">C31-(D25-C25)*($B$31/SUM($B$26:$B$32))</f>
        <v>2.2682500757371192E-4</v>
      </c>
      <c r="E31" s="20">
        <f t="shared" si="5"/>
        <v>2.2598456512132762E-4</v>
      </c>
      <c r="F31" s="20">
        <f t="shared" si="5"/>
        <v>2.2516151891423394E-4</v>
      </c>
      <c r="G31" s="20">
        <f t="shared" si="5"/>
        <v>2.2437680441333586E-4</v>
      </c>
      <c r="H31" s="20">
        <f t="shared" si="5"/>
        <v>2.2362347967550127E-4</v>
      </c>
      <c r="I31" s="20">
        <f t="shared" si="5"/>
        <v>2.228795789956384E-4</v>
      </c>
      <c r="J31" s="20">
        <f t="shared" si="5"/>
        <v>2.2214791439753383E-4</v>
      </c>
      <c r="K31" s="20">
        <f t="shared" si="5"/>
        <v>2.2145734346617918E-4</v>
      </c>
      <c r="L31" s="20">
        <f t="shared" si="5"/>
        <v>2.2079976943690236E-4</v>
      </c>
      <c r="M31" s="20">
        <f t="shared" si="5"/>
        <v>2.2018293273637433E-4</v>
      </c>
      <c r="N31" s="20">
        <f t="shared" si="5"/>
        <v>2.1961868499126207E-4</v>
      </c>
      <c r="O31" s="20">
        <f t="shared" si="5"/>
        <v>2.1903665299943811E-4</v>
      </c>
      <c r="P31" s="20">
        <f t="shared" si="5"/>
        <v>2.1851996047425552E-4</v>
      </c>
      <c r="Q31" s="20">
        <f t="shared" si="5"/>
        <v>2.1807084739654682E-4</v>
      </c>
      <c r="R31" s="20">
        <f t="shared" si="5"/>
        <v>2.1766783555718578E-4</v>
      </c>
      <c r="S31" s="20">
        <f t="shared" si="5"/>
        <v>2.1730596335617312E-4</v>
      </c>
      <c r="T31" s="20">
        <f t="shared" si="5"/>
        <v>2.1693458483572369E-4</v>
      </c>
      <c r="U31" s="20">
        <f t="shared" si="5"/>
        <v>2.165893564864204E-4</v>
      </c>
      <c r="V31" s="20">
        <f t="shared" si="5"/>
        <v>2.1625767496001179E-4</v>
      </c>
      <c r="W31" s="20">
        <f t="shared" si="5"/>
        <v>2.1593397588816874E-4</v>
      </c>
      <c r="X31" s="20">
        <f t="shared" si="5"/>
        <v>2.1562072899311601E-4</v>
      </c>
      <c r="Y31" s="20">
        <f t="shared" si="5"/>
        <v>2.1530255824346359E-4</v>
      </c>
      <c r="Z31" s="20">
        <f t="shared" si="5"/>
        <v>2.1497663230455927E-4</v>
      </c>
      <c r="AA31" s="20">
        <f t="shared" si="5"/>
        <v>2.1465426918966938E-4</v>
      </c>
      <c r="AB31" s="20">
        <f t="shared" si="5"/>
        <v>2.1433338209388234E-4</v>
      </c>
      <c r="AC31" s="20">
        <f t="shared" si="5"/>
        <v>2.1400150195430574E-4</v>
      </c>
    </row>
    <row r="32" spans="1:29" s="32" customFormat="1" ht="20.399999999999999" x14ac:dyDescent="0.3">
      <c r="A32" s="135" t="s">
        <v>54</v>
      </c>
      <c r="B32" s="27">
        <f>D184/$B$23</f>
        <v>2.3155340706171274E-2</v>
      </c>
      <c r="C32" s="20">
        <f>B32-(C25-B25)*($B$32/SUM($B$26:$B$32))</f>
        <v>2.3086597281791344E-2</v>
      </c>
      <c r="D32" s="20">
        <f t="shared" ref="D32:AC32" si="6">C32-(D25-C25)*($B$32/SUM($B$26:$B$32))</f>
        <v>2.3010148439916823E-2</v>
      </c>
      <c r="E32" s="20">
        <f t="shared" si="6"/>
        <v>2.2924890179412693E-2</v>
      </c>
      <c r="F32" s="20">
        <f t="shared" si="6"/>
        <v>2.2841396672234116E-2</v>
      </c>
      <c r="G32" s="20">
        <f t="shared" si="6"/>
        <v>2.2761791705648796E-2</v>
      </c>
      <c r="H32" s="20">
        <f t="shared" si="6"/>
        <v>2.2685371057738525E-2</v>
      </c>
      <c r="I32" s="20">
        <f t="shared" si="6"/>
        <v>2.2609906428633919E-2</v>
      </c>
      <c r="J32" s="20">
        <f t="shared" si="6"/>
        <v>2.2535683082669091E-2</v>
      </c>
      <c r="K32" s="20">
        <f t="shared" si="6"/>
        <v>2.2465628462992299E-2</v>
      </c>
      <c r="L32" s="20">
        <f t="shared" si="6"/>
        <v>2.2398921197396917E-2</v>
      </c>
      <c r="M32" s="20">
        <f t="shared" si="6"/>
        <v>2.2336346509560848E-2</v>
      </c>
      <c r="N32" s="20">
        <f t="shared" si="6"/>
        <v>2.2279106681771129E-2</v>
      </c>
      <c r="O32" s="20">
        <f t="shared" si="6"/>
        <v>2.2220062740047473E-2</v>
      </c>
      <c r="P32" s="20">
        <f t="shared" si="6"/>
        <v>2.2167647127547676E-2</v>
      </c>
      <c r="Q32" s="20">
        <f t="shared" si="6"/>
        <v>2.2122087077997024E-2</v>
      </c>
      <c r="R32" s="20">
        <f t="shared" si="6"/>
        <v>2.2081203745308375E-2</v>
      </c>
      <c r="S32" s="20">
        <f t="shared" si="6"/>
        <v>2.2044493802473371E-2</v>
      </c>
      <c r="T32" s="20">
        <f t="shared" si="6"/>
        <v>2.2006819495859885E-2</v>
      </c>
      <c r="U32" s="20">
        <f t="shared" si="6"/>
        <v>2.1971797980163233E-2</v>
      </c>
      <c r="V32" s="20">
        <f t="shared" si="6"/>
        <v>2.1938150715079555E-2</v>
      </c>
      <c r="W32" s="20">
        <f t="shared" si="6"/>
        <v>2.1905313226071421E-2</v>
      </c>
      <c r="X32" s="20">
        <f t="shared" si="6"/>
        <v>2.1873536052863726E-2</v>
      </c>
      <c r="Y32" s="20">
        <f t="shared" si="6"/>
        <v>2.1841259381710689E-2</v>
      </c>
      <c r="Z32" s="20">
        <f t="shared" si="6"/>
        <v>2.1808195989297178E-2</v>
      </c>
      <c r="AA32" s="20">
        <f t="shared" si="6"/>
        <v>2.1775494025768047E-2</v>
      </c>
      <c r="AB32" s="20">
        <f t="shared" si="6"/>
        <v>2.1742941796252021E-2</v>
      </c>
      <c r="AC32" s="20">
        <f t="shared" si="6"/>
        <v>2.1709274382955734E-2</v>
      </c>
    </row>
    <row r="33" spans="1:29" s="134" customFormat="1" x14ac:dyDescent="0.85">
      <c r="A33" s="89" t="s">
        <v>208</v>
      </c>
      <c r="B33" s="257"/>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50"/>
    </row>
    <row r="34" spans="1:29" s="31" customFormat="1" ht="20.399999999999999" x14ac:dyDescent="0.7">
      <c r="A34" s="135" t="s">
        <v>206</v>
      </c>
      <c r="B34" s="18">
        <f>B206*SUM($B$202:$B$202)/$B$23</f>
        <v>0</v>
      </c>
      <c r="C34" s="18">
        <f>B34+IF('Business As Usual'!$B$17="Low",('Forecast Parameters'!E192-'Forecast Parameters'!D192),('Forecast Parameters'!E186-'Forecast Parameters'!D186)*SUM($B$34:$B$39))</f>
        <v>4.0550627864733907E-4</v>
      </c>
      <c r="D34" s="18">
        <f>C34+IF('Business As Usual'!$B$17="Low",('Forecast Parameters'!F192-'Forecast Parameters'!E192),('Forecast Parameters'!F186-'Forecast Parameters'!E186)*SUM($B$34:$B$39))</f>
        <v>8.5915841021068839E-4</v>
      </c>
      <c r="E34" s="18">
        <f>D34+IF('Business As Usual'!$B$17="Low",('Forecast Parameters'!G192-'Forecast Parameters'!F192),('Forecast Parameters'!G186-'Forecast Parameters'!F186)*SUM($B$34:$B$39))</f>
        <v>1.3226387448724303E-3</v>
      </c>
      <c r="F34" s="18">
        <f>E34+IF('Business As Usual'!$B$17="Low",('Forecast Parameters'!H192-'Forecast Parameters'!G192),('Forecast Parameters'!H186-'Forecast Parameters'!G186)*SUM($B$34:$B$39))</f>
        <v>1.7961674582088845E-3</v>
      </c>
      <c r="G34" s="18">
        <f>F34+IF('Business As Usual'!$B$17="Low",('Forecast Parameters'!I192-'Forecast Parameters'!H192),('Forecast Parameters'!I186-'Forecast Parameters'!H186)*SUM($B$34:$B$39))</f>
        <v>2.2620121950689162E-3</v>
      </c>
      <c r="H34" s="18">
        <f>G34+IF('Business As Usual'!$B$17="Low",('Forecast Parameters'!J192-'Forecast Parameters'!I192),('Forecast Parameters'!J186-'Forecast Parameters'!I186)*SUM($B$34:$B$39))</f>
        <v>2.7334476051316518E-3</v>
      </c>
      <c r="I34" s="18">
        <f>H34+IF('Business As Usual'!$B$17="Low",('Forecast Parameters'!K192-'Forecast Parameters'!J192),('Forecast Parameters'!K186-'Forecast Parameters'!J186)*SUM($B$34:$B$39))</f>
        <v>3.2340964746928962E-3</v>
      </c>
      <c r="J34" s="18">
        <f>I34+IF('Business As Usual'!$B$17="Low",('Forecast Parameters'!L192-'Forecast Parameters'!K192),('Forecast Parameters'!L186-'Forecast Parameters'!K186)*SUM($B$34:$B$39))</f>
        <v>3.7334562196124324E-3</v>
      </c>
      <c r="K34" s="18">
        <f>J34+IF('Business As Usual'!$B$17="Low",('Forecast Parameters'!M192-'Forecast Parameters'!L192),('Forecast Parameters'!M186-'Forecast Parameters'!L186)*SUM($B$34:$B$39))</f>
        <v>4.2348180072423816E-3</v>
      </c>
      <c r="L34" s="18">
        <f>K34+IF('Business As Usual'!$B$17="Low",('Forecast Parameters'!N192-'Forecast Parameters'!M192),('Forecast Parameters'!N186-'Forecast Parameters'!M186)*SUM($B$34:$B$39))</f>
        <v>4.7356023506963931E-3</v>
      </c>
      <c r="M34" s="18">
        <f>L34+IF('Business As Usual'!$B$17="Low",('Forecast Parameters'!O192-'Forecast Parameters'!N192),('Forecast Parameters'!O186-'Forecast Parameters'!N186)*SUM($B$34:$B$39))</f>
        <v>5.2184779164651208E-3</v>
      </c>
      <c r="N34" s="18">
        <f>M34+IF('Business As Usual'!$B$17="Low",('Forecast Parameters'!P192-'Forecast Parameters'!O192),('Forecast Parameters'!P186-'Forecast Parameters'!O186)*SUM($B$34:$B$39))</f>
        <v>5.6577730737527024E-3</v>
      </c>
      <c r="O34" s="18">
        <f>N34+IF('Business As Usual'!$B$17="Low",('Forecast Parameters'!Q192-'Forecast Parameters'!P192),('Forecast Parameters'!Q186-'Forecast Parameters'!P186)*SUM($B$34:$B$39))</f>
        <v>6.0271904880004031E-3</v>
      </c>
      <c r="P34" s="18">
        <f>O34+IF('Business As Usual'!$B$17="Low",('Forecast Parameters'!R192-'Forecast Parameters'!Q192),('Forecast Parameters'!R186-'Forecast Parameters'!Q186)*SUM($B$34:$B$39))</f>
        <v>6.3201156835178537E-3</v>
      </c>
      <c r="Q34" s="18">
        <f>P34+IF('Business As Usual'!$B$17="Low",('Forecast Parameters'!S192-'Forecast Parameters'!R192),('Forecast Parameters'!S186-'Forecast Parameters'!R186)*SUM($B$34:$B$39))</f>
        <v>6.5340709755655592E-3</v>
      </c>
      <c r="R34" s="18">
        <f>Q34+IF('Business As Usual'!$B$17="Low",('Forecast Parameters'!T192-'Forecast Parameters'!S192),('Forecast Parameters'!T186-'Forecast Parameters'!S186)*SUM($B$34:$B$39))</f>
        <v>6.6905653731112085E-3</v>
      </c>
      <c r="S34" s="18">
        <f>R34+IF('Business As Usual'!$B$17="Low",('Forecast Parameters'!U192-'Forecast Parameters'!T192),('Forecast Parameters'!U186-'Forecast Parameters'!T186)*SUM($B$34:$B$39))</f>
        <v>6.8009055968086618E-3</v>
      </c>
      <c r="T34" s="18">
        <f>S34+IF('Business As Usual'!$B$17="Low",('Forecast Parameters'!V192-'Forecast Parameters'!U192),('Forecast Parameters'!V186-'Forecast Parameters'!U186)*SUM($B$34:$B$39))</f>
        <v>6.9164731981657028E-3</v>
      </c>
      <c r="U34" s="18">
        <f>T34+IF('Business As Usual'!$B$17="Low",('Forecast Parameters'!W192-'Forecast Parameters'!V192),('Forecast Parameters'!W186-'Forecast Parameters'!V186)*SUM($B$34:$B$39))</f>
        <v>7.0096350428725555E-3</v>
      </c>
      <c r="V34" s="18">
        <f>U34+IF('Business As Usual'!$B$17="Low",('Forecast Parameters'!X192-'Forecast Parameters'!W192),('Forecast Parameters'!X186-'Forecast Parameters'!W186)*SUM($B$34:$B$39))</f>
        <v>7.0906320467119558E-3</v>
      </c>
      <c r="W34" s="18">
        <f>V34+IF('Business As Usual'!$B$17="Low",('Forecast Parameters'!Y192-'Forecast Parameters'!X192),('Forecast Parameters'!Y186-'Forecast Parameters'!X186)*SUM($B$34:$B$39))</f>
        <v>7.1622790453101113E-3</v>
      </c>
      <c r="X34" s="18">
        <f>W34+IF('Business As Usual'!$B$17="Low",('Forecast Parameters'!Z192-'Forecast Parameters'!Y192),('Forecast Parameters'!Z186-'Forecast Parameters'!Y186)*SUM($B$34:$B$39))</f>
        <v>7.2176975674318701E-3</v>
      </c>
      <c r="Y34" s="18">
        <f>X34+IF('Business As Usual'!$B$17="Low",('Forecast Parameters'!AA192-'Forecast Parameters'!Z192),('Forecast Parameters'!AA186-'Forecast Parameters'!Z186)*SUM($B$34:$B$39))</f>
        <v>7.2857259801034678E-3</v>
      </c>
      <c r="Z34" s="18">
        <f>Y34+IF('Business As Usual'!$B$17="Low",('Forecast Parameters'!AB192-'Forecast Parameters'!AA192),('Forecast Parameters'!AB186-'Forecast Parameters'!AA186)*SUM($B$34:$B$39))</f>
        <v>7.362091824582302E-3</v>
      </c>
      <c r="AA34" s="18">
        <f>Z34+IF('Business As Usual'!$B$17="Low",('Forecast Parameters'!AC192-'Forecast Parameters'!AB192),('Forecast Parameters'!AC186-'Forecast Parameters'!AB186)*SUM($B$34:$B$39))</f>
        <v>7.4311070078458144E-3</v>
      </c>
      <c r="AB34" s="18">
        <f>AA34+IF('Business As Usual'!$B$17="Low",('Forecast Parameters'!AD192-'Forecast Parameters'!AC192),('Forecast Parameters'!AD186-'Forecast Parameters'!AC186)*SUM($B$34:$B$39))</f>
        <v>7.4929271369222087E-3</v>
      </c>
      <c r="AC34" s="18">
        <f>AB34+IF('Business As Usual'!$B$17="Low",('Forecast Parameters'!AE192-'Forecast Parameters'!AD192),('Forecast Parameters'!AE186-'Forecast Parameters'!AD186)*SUM($B$34:$B$39))</f>
        <v>7.563222668724663E-3</v>
      </c>
    </row>
    <row r="35" spans="1:29" s="31" customFormat="1" ht="20.399999999999999" x14ac:dyDescent="0.7">
      <c r="A35" s="135" t="s">
        <v>44</v>
      </c>
      <c r="B35" s="27">
        <f>B187/$B$23</f>
        <v>0.18433088035623546</v>
      </c>
      <c r="C35" s="18">
        <f>B35-(C34-B34)*($B$35/SUM($B$35:$B$39))</f>
        <v>0.18398463024063011</v>
      </c>
      <c r="D35" s="18">
        <f t="shared" ref="D35:AC35" si="7">C35-(D34-C34)*($B$35/SUM($B$35:$B$39))</f>
        <v>0.18359726976985666</v>
      </c>
      <c r="E35" s="18">
        <f t="shared" si="7"/>
        <v>0.18320151727992542</v>
      </c>
      <c r="F35" s="18">
        <f t="shared" si="7"/>
        <v>0.18279718476926216</v>
      </c>
      <c r="G35" s="18">
        <f t="shared" si="7"/>
        <v>0.18239941338448859</v>
      </c>
      <c r="H35" s="18">
        <f t="shared" si="7"/>
        <v>0.18199686828511508</v>
      </c>
      <c r="I35" s="18">
        <f t="shared" si="7"/>
        <v>0.18156937865525899</v>
      </c>
      <c r="J35" s="18">
        <f t="shared" si="7"/>
        <v>0.18114298977175317</v>
      </c>
      <c r="K35" s="18">
        <f t="shared" si="7"/>
        <v>0.18071489140172042</v>
      </c>
      <c r="L35" s="18">
        <f t="shared" si="7"/>
        <v>0.1802872860946147</v>
      </c>
      <c r="M35" s="18">
        <f t="shared" si="7"/>
        <v>0.17987497257624419</v>
      </c>
      <c r="N35" s="18">
        <f t="shared" si="7"/>
        <v>0.17949987111171672</v>
      </c>
      <c r="O35" s="18">
        <f t="shared" si="7"/>
        <v>0.17918443623653657</v>
      </c>
      <c r="P35" s="18">
        <f t="shared" si="7"/>
        <v>0.17893431586071906</v>
      </c>
      <c r="Q35" s="18">
        <f t="shared" si="7"/>
        <v>0.17875162560780114</v>
      </c>
      <c r="R35" s="18">
        <f t="shared" si="7"/>
        <v>0.17861799955539445</v>
      </c>
      <c r="S35" s="18">
        <f t="shared" si="7"/>
        <v>0.17852378322084445</v>
      </c>
      <c r="T35" s="18">
        <f t="shared" si="7"/>
        <v>0.1784251033792805</v>
      </c>
      <c r="U35" s="18">
        <f t="shared" si="7"/>
        <v>0.17834555516708669</v>
      </c>
      <c r="V35" s="18">
        <f t="shared" si="7"/>
        <v>0.1782763941616477</v>
      </c>
      <c r="W35" s="18">
        <f t="shared" si="7"/>
        <v>0.17821521685600858</v>
      </c>
      <c r="X35" s="18">
        <f t="shared" si="7"/>
        <v>0.17816789657836615</v>
      </c>
      <c r="Y35" s="18">
        <f t="shared" si="7"/>
        <v>0.17810980907888141</v>
      </c>
      <c r="Z35" s="18">
        <f t="shared" si="7"/>
        <v>0.17804460248684714</v>
      </c>
      <c r="AA35" s="18">
        <f t="shared" si="7"/>
        <v>0.1779856724124147</v>
      </c>
      <c r="AB35" s="18">
        <f t="shared" si="7"/>
        <v>0.17793288598723075</v>
      </c>
      <c r="AC35" s="18">
        <f t="shared" si="7"/>
        <v>0.1778728626601091</v>
      </c>
    </row>
    <row r="36" spans="1:29" s="31" customFormat="1" ht="20.399999999999999" x14ac:dyDescent="0.7">
      <c r="A36" s="135" t="s">
        <v>253</v>
      </c>
      <c r="B36" s="27">
        <f>B188/$B$23</f>
        <v>2.661638561320553E-3</v>
      </c>
      <c r="C36" s="18">
        <f>B36-(C34-B34)*($B$36/SUM($B$35:$B$39))</f>
        <v>2.6566388962737859E-3</v>
      </c>
      <c r="D36" s="18">
        <f t="shared" ref="D36:AC36" si="8">C36-(D34-C34)*($B$36/SUM($B$35:$B$39))</f>
        <v>2.651045619856132E-3</v>
      </c>
      <c r="E36" s="18">
        <f t="shared" si="8"/>
        <v>2.6453311672049872E-3</v>
      </c>
      <c r="F36" s="18">
        <f t="shared" si="8"/>
        <v>2.6394928236789482E-3</v>
      </c>
      <c r="G36" s="18">
        <f t="shared" si="8"/>
        <v>2.6337492192744279E-3</v>
      </c>
      <c r="H36" s="18">
        <f t="shared" si="8"/>
        <v>2.6279366850040305E-3</v>
      </c>
      <c r="I36" s="18">
        <f t="shared" si="8"/>
        <v>2.6217639651581171E-3</v>
      </c>
      <c r="J36" s="18">
        <f t="shared" si="8"/>
        <v>2.6156071394962191E-3</v>
      </c>
      <c r="K36" s="18">
        <f t="shared" si="8"/>
        <v>2.6094256297702549E-3</v>
      </c>
      <c r="L36" s="18">
        <f t="shared" si="8"/>
        <v>2.6032512396072047E-3</v>
      </c>
      <c r="M36" s="18">
        <f t="shared" si="8"/>
        <v>2.5972976546314924E-3</v>
      </c>
      <c r="N36" s="18">
        <f t="shared" si="8"/>
        <v>2.5918813916566475E-3</v>
      </c>
      <c r="O36" s="18">
        <f t="shared" si="8"/>
        <v>2.5873266820727607E-3</v>
      </c>
      <c r="P36" s="18">
        <f t="shared" si="8"/>
        <v>2.5837150786563322E-3</v>
      </c>
      <c r="Q36" s="18">
        <f t="shared" si="8"/>
        <v>2.5810771298709519E-3</v>
      </c>
      <c r="R36" s="18">
        <f t="shared" si="8"/>
        <v>2.5791476416962339E-3</v>
      </c>
      <c r="S36" s="18">
        <f t="shared" si="8"/>
        <v>2.5777872086062388E-3</v>
      </c>
      <c r="T36" s="18">
        <f t="shared" si="8"/>
        <v>2.5763623248807122E-3</v>
      </c>
      <c r="U36" s="18">
        <f t="shared" si="8"/>
        <v>2.5752136915716869E-3</v>
      </c>
      <c r="V36" s="18">
        <f t="shared" si="8"/>
        <v>2.5742150439296836E-3</v>
      </c>
      <c r="W36" s="18">
        <f t="shared" si="8"/>
        <v>2.5733316766097204E-3</v>
      </c>
      <c r="X36" s="18">
        <f t="shared" si="8"/>
        <v>2.5726483973053408E-3</v>
      </c>
      <c r="Y36" s="18">
        <f t="shared" si="8"/>
        <v>2.5718096451208968E-3</v>
      </c>
      <c r="Z36" s="18">
        <f t="shared" si="8"/>
        <v>2.5708680970771003E-3</v>
      </c>
      <c r="AA36" s="18">
        <f t="shared" si="8"/>
        <v>2.5700171785645442E-3</v>
      </c>
      <c r="AB36" s="18">
        <f t="shared" si="8"/>
        <v>2.5692549710358203E-3</v>
      </c>
      <c r="AC36" s="18">
        <f t="shared" si="8"/>
        <v>2.5683882665436752E-3</v>
      </c>
    </row>
    <row r="37" spans="1:29" s="31" customFormat="1" ht="20.399999999999999" x14ac:dyDescent="0.7">
      <c r="A37" s="135" t="s">
        <v>55</v>
      </c>
      <c r="B37" s="27">
        <f>C187/$B$23</f>
        <v>2.0776946546395114E-2</v>
      </c>
      <c r="C37" s="18">
        <f>B37-(C34-B34)*($B$37/SUM($B$35:$B$39))</f>
        <v>2.0737918792989325E-2</v>
      </c>
      <c r="D37" s="18">
        <f t="shared" ref="D37:AC37" si="9">C37-(D34-C34)*($B$37/SUM($B$35:$B$39))</f>
        <v>2.0694257265523645E-2</v>
      </c>
      <c r="E37" s="18">
        <f t="shared" si="9"/>
        <v>2.0649649827458937E-2</v>
      </c>
      <c r="F37" s="18">
        <f t="shared" si="9"/>
        <v>2.0604075288104571E-2</v>
      </c>
      <c r="G37" s="18">
        <f t="shared" si="9"/>
        <v>2.0559240289307005E-2</v>
      </c>
      <c r="H37" s="18">
        <f t="shared" si="9"/>
        <v>2.0513867218902127E-2</v>
      </c>
      <c r="I37" s="18">
        <f t="shared" si="9"/>
        <v>2.0465682513379685E-2</v>
      </c>
      <c r="J37" s="18">
        <f t="shared" si="9"/>
        <v>2.0417621879027716E-2</v>
      </c>
      <c r="K37" s="18">
        <f t="shared" si="9"/>
        <v>2.0369368559054524E-2</v>
      </c>
      <c r="L37" s="18">
        <f t="shared" si="9"/>
        <v>2.0321170814913549E-2</v>
      </c>
      <c r="M37" s="18">
        <f t="shared" si="9"/>
        <v>2.0274696692319523E-2</v>
      </c>
      <c r="N37" s="18">
        <f t="shared" si="9"/>
        <v>2.0232416944819268E-2</v>
      </c>
      <c r="O37" s="18">
        <f t="shared" si="9"/>
        <v>2.0196862546512151E-2</v>
      </c>
      <c r="P37" s="18">
        <f t="shared" si="9"/>
        <v>2.0168670104375046E-2</v>
      </c>
      <c r="Q37" s="18">
        <f t="shared" si="9"/>
        <v>2.0148078081963568E-2</v>
      </c>
      <c r="R37" s="18">
        <f t="shared" si="9"/>
        <v>2.0133016355232302E-2</v>
      </c>
      <c r="S37" s="18">
        <f t="shared" si="9"/>
        <v>2.0122396714383414E-2</v>
      </c>
      <c r="T37" s="18">
        <f t="shared" si="9"/>
        <v>2.0111273967129029E-2</v>
      </c>
      <c r="U37" s="18">
        <f t="shared" si="9"/>
        <v>2.0102307650962048E-2</v>
      </c>
      <c r="V37" s="18">
        <f t="shared" si="9"/>
        <v>2.0094512133953048E-2</v>
      </c>
      <c r="W37" s="18">
        <f t="shared" si="9"/>
        <v>2.0087616503624263E-2</v>
      </c>
      <c r="X37" s="18">
        <f t="shared" si="9"/>
        <v>2.0082282775074619E-2</v>
      </c>
      <c r="Y37" s="18">
        <f t="shared" si="9"/>
        <v>2.0075735413778044E-2</v>
      </c>
      <c r="Z37" s="18">
        <f t="shared" si="9"/>
        <v>2.0068385620436037E-2</v>
      </c>
      <c r="AA37" s="18">
        <f t="shared" si="9"/>
        <v>2.0061743287886593E-2</v>
      </c>
      <c r="AB37" s="18">
        <f t="shared" si="9"/>
        <v>2.0055793439807408E-2</v>
      </c>
      <c r="AC37" s="18">
        <f t="shared" si="9"/>
        <v>2.0049027880739208E-2</v>
      </c>
    </row>
    <row r="38" spans="1:29" s="31" customFormat="1" ht="20.399999999999999" x14ac:dyDescent="0.7">
      <c r="A38" s="135" t="s">
        <v>254</v>
      </c>
      <c r="B38" s="27">
        <f>C188/$B$23</f>
        <v>4.9469058271227253E-4</v>
      </c>
      <c r="C38" s="18">
        <f>B38-(C34-B34)*($B$38/SUM($B$35:$B$39))</f>
        <v>4.9376134789756341E-4</v>
      </c>
      <c r="D38" s="18">
        <f t="shared" ref="D38:AC38" si="10">C38-(D34-C34)*($B$38/SUM($B$35:$B$39))</f>
        <v>4.9272178482144568E-4</v>
      </c>
      <c r="E38" s="18">
        <f t="shared" si="10"/>
        <v>4.9165970000160668E-4</v>
      </c>
      <c r="F38" s="18">
        <f t="shared" si="10"/>
        <v>4.9057458889638665E-4</v>
      </c>
      <c r="G38" s="18">
        <f t="shared" si="10"/>
        <v>4.8950708594875454E-4</v>
      </c>
      <c r="H38" s="18">
        <f t="shared" si="10"/>
        <v>4.8842677173665833E-4</v>
      </c>
      <c r="I38" s="18">
        <f t="shared" si="10"/>
        <v>4.8727951364464322E-4</v>
      </c>
      <c r="J38" s="18">
        <f t="shared" si="10"/>
        <v>4.8613520963635174E-4</v>
      </c>
      <c r="K38" s="18">
        <f t="shared" si="10"/>
        <v>4.8498631786238308E-4</v>
      </c>
      <c r="L38" s="18">
        <f t="shared" si="10"/>
        <v>4.8383874932620406E-4</v>
      </c>
      <c r="M38" s="18">
        <f t="shared" si="10"/>
        <v>4.8273221951270417E-4</v>
      </c>
      <c r="N38" s="18">
        <f t="shared" si="10"/>
        <v>4.8172555605129877E-4</v>
      </c>
      <c r="O38" s="18">
        <f t="shared" si="10"/>
        <v>4.8087902039808061E-4</v>
      </c>
      <c r="P38" s="18">
        <f t="shared" si="10"/>
        <v>4.8020776990428238E-4</v>
      </c>
      <c r="Q38" s="18">
        <f t="shared" si="10"/>
        <v>4.7971748228943907E-4</v>
      </c>
      <c r="R38" s="18">
        <f t="shared" si="10"/>
        <v>4.7935886874838263E-4</v>
      </c>
      <c r="S38" s="18">
        <f t="shared" si="10"/>
        <v>4.7910601945178358E-4</v>
      </c>
      <c r="T38" s="18">
        <f t="shared" si="10"/>
        <v>4.7884119139784666E-4</v>
      </c>
      <c r="U38" s="18">
        <f t="shared" si="10"/>
        <v>4.7862770708437832E-4</v>
      </c>
      <c r="V38" s="18">
        <f t="shared" si="10"/>
        <v>4.7844209901905867E-4</v>
      </c>
      <c r="W38" s="18">
        <f t="shared" si="10"/>
        <v>4.7827791688681424E-4</v>
      </c>
      <c r="X38" s="18">
        <f t="shared" si="10"/>
        <v>4.7815092299585146E-4</v>
      </c>
      <c r="Y38" s="18">
        <f t="shared" si="10"/>
        <v>4.7799503300654053E-4</v>
      </c>
      <c r="Z38" s="18">
        <f t="shared" si="10"/>
        <v>4.7782003743907089E-4</v>
      </c>
      <c r="AA38" s="18">
        <f t="shared" si="10"/>
        <v>4.7766188622314911E-4</v>
      </c>
      <c r="AB38" s="18">
        <f t="shared" si="10"/>
        <v>4.7752022277867858E-4</v>
      </c>
      <c r="AC38" s="18">
        <f t="shared" si="10"/>
        <v>4.7735913758984447E-4</v>
      </c>
    </row>
    <row r="39" spans="1:29" s="32" customFormat="1" ht="20.399999999999999" x14ac:dyDescent="0.3">
      <c r="A39" s="135" t="s">
        <v>54</v>
      </c>
      <c r="B39" s="27">
        <f>D187/$B$23</f>
        <v>7.6125352935405887E-3</v>
      </c>
      <c r="C39" s="18">
        <f>B39-(C34-B34)*($B$39/SUM($B$35:$B$39))</f>
        <v>7.5982357837658604E-3</v>
      </c>
      <c r="D39" s="18">
        <f t="shared" ref="D39:AC39" si="11">C39-(D34-C34)*($B$39/SUM($B$35:$B$39))</f>
        <v>7.5822384899354046E-3</v>
      </c>
      <c r="E39" s="18">
        <f t="shared" si="11"/>
        <v>7.5658946207405858E-3</v>
      </c>
      <c r="F39" s="18">
        <f t="shared" si="11"/>
        <v>7.5491964120530265E-3</v>
      </c>
      <c r="G39" s="18">
        <f t="shared" si="11"/>
        <v>7.5327691661162778E-3</v>
      </c>
      <c r="H39" s="18">
        <f t="shared" si="11"/>
        <v>7.516144774314424E-3</v>
      </c>
      <c r="I39" s="18">
        <f t="shared" si="11"/>
        <v>7.4984902180696275E-3</v>
      </c>
      <c r="J39" s="18">
        <f t="shared" si="11"/>
        <v>7.4808811206780856E-3</v>
      </c>
      <c r="K39" s="18">
        <f t="shared" si="11"/>
        <v>7.46320142455401E-3</v>
      </c>
      <c r="L39" s="18">
        <f t="shared" si="11"/>
        <v>7.4455420910459359E-3</v>
      </c>
      <c r="M39" s="18">
        <f t="shared" si="11"/>
        <v>7.4285142810309587E-3</v>
      </c>
      <c r="N39" s="18">
        <f t="shared" si="11"/>
        <v>7.4130232622073326E-3</v>
      </c>
      <c r="O39" s="18">
        <f t="shared" si="11"/>
        <v>7.3999963666840111E-3</v>
      </c>
      <c r="P39" s="18">
        <f t="shared" si="11"/>
        <v>7.3896668430314099E-3</v>
      </c>
      <c r="Q39" s="18">
        <f t="shared" si="11"/>
        <v>7.3821220627133428E-3</v>
      </c>
      <c r="R39" s="18">
        <f t="shared" si="11"/>
        <v>7.3766035460214215E-3</v>
      </c>
      <c r="S39" s="18">
        <f t="shared" si="11"/>
        <v>7.3727125801094492E-3</v>
      </c>
      <c r="T39" s="18">
        <f t="shared" si="11"/>
        <v>7.3686372793502122E-3</v>
      </c>
      <c r="U39" s="18">
        <f t="shared" si="11"/>
        <v>7.365352080626629E-3</v>
      </c>
      <c r="V39" s="18">
        <f t="shared" si="11"/>
        <v>7.3624958549425561E-3</v>
      </c>
      <c r="W39" s="18">
        <f t="shared" si="11"/>
        <v>7.3599693417645065E-3</v>
      </c>
      <c r="X39" s="18">
        <f t="shared" si="11"/>
        <v>7.3580150990301537E-3</v>
      </c>
      <c r="Y39" s="18">
        <f t="shared" si="11"/>
        <v>7.3556161893136339E-3</v>
      </c>
      <c r="Z39" s="18">
        <f t="shared" si="11"/>
        <v>7.3529232738223545E-3</v>
      </c>
      <c r="AA39" s="18">
        <f t="shared" si="11"/>
        <v>7.3504895672692203E-3</v>
      </c>
      <c r="AB39" s="18">
        <f t="shared" si="11"/>
        <v>7.3483095824291543E-3</v>
      </c>
      <c r="AC39" s="18">
        <f t="shared" si="11"/>
        <v>7.3458307264975473E-3</v>
      </c>
    </row>
    <row r="40" spans="1:29" s="134" customFormat="1" x14ac:dyDescent="0.85">
      <c r="A40" s="89" t="s">
        <v>209</v>
      </c>
      <c r="B40" s="257"/>
      <c r="C40" s="249"/>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50"/>
    </row>
    <row r="41" spans="1:29" s="32" customFormat="1" ht="20.399999999999999" x14ac:dyDescent="0.3">
      <c r="A41" s="135" t="s">
        <v>206</v>
      </c>
      <c r="B41" s="18">
        <f>B207*SUM($B$202:$B$202)/$B$23</f>
        <v>0</v>
      </c>
      <c r="C41" s="18">
        <f>B41+IF('Business As Usual'!$B$17="Low",('Forecast Parameters'!E194-'Forecast Parameters'!D194),('Forecast Parameters'!E187-'Forecast Parameters'!D187))*SUM($B$41:$B$44)</f>
        <v>0</v>
      </c>
      <c r="D41" s="268">
        <f>C41+IF('Business As Usual'!$B$17="Low",('Forecast Parameters'!F194-'Forecast Parameters'!E194),('Forecast Parameters'!F187-'Forecast Parameters'!E187))*SUM($B$41:$B$44)</f>
        <v>0</v>
      </c>
      <c r="E41" s="18">
        <f>D41+IF('Business As Usual'!$B$17="Low",('Forecast Parameters'!G194-'Forecast Parameters'!F194),('Forecast Parameters'!G187-'Forecast Parameters'!F187))*SUM($B$41:$B$44)</f>
        <v>0</v>
      </c>
      <c r="F41" s="18">
        <f>E41+IF('Business As Usual'!$B$17="Low",('Forecast Parameters'!H194-'Forecast Parameters'!G194),('Forecast Parameters'!H187-'Forecast Parameters'!G187))*SUM($B$41:$B$44)</f>
        <v>0</v>
      </c>
      <c r="G41" s="18">
        <f>F41+IF('Business As Usual'!$B$17="Low",('Forecast Parameters'!I194-'Forecast Parameters'!H194),('Forecast Parameters'!I187-'Forecast Parameters'!H187))*SUM($B$41:$B$44)</f>
        <v>0</v>
      </c>
      <c r="H41" s="18">
        <f>G41+IF('Business As Usual'!$B$17="Low",('Forecast Parameters'!J194-'Forecast Parameters'!I194),('Forecast Parameters'!J187-'Forecast Parameters'!I187))*SUM($B$41:$B$44)</f>
        <v>0</v>
      </c>
      <c r="I41" s="18">
        <f>H41+IF('Business As Usual'!$B$17="Low",('Forecast Parameters'!K194-'Forecast Parameters'!J194),('Forecast Parameters'!K187-'Forecast Parameters'!J187))*SUM($B$41:$B$44)</f>
        <v>0</v>
      </c>
      <c r="J41" s="18">
        <f>I41+IF('Business As Usual'!$B$17="Low",('Forecast Parameters'!L194-'Forecast Parameters'!K194),('Forecast Parameters'!L187-'Forecast Parameters'!K187))*SUM($B$41:$B$44)</f>
        <v>0</v>
      </c>
      <c r="K41" s="18">
        <f>J41+IF('Business As Usual'!$B$17="Low",('Forecast Parameters'!M194-'Forecast Parameters'!L194),('Forecast Parameters'!M187-'Forecast Parameters'!L187))*SUM($B$41:$B$44)</f>
        <v>0</v>
      </c>
      <c r="L41" s="18">
        <f>K41+IF('Business As Usual'!$B$17="Low",('Forecast Parameters'!N194-'Forecast Parameters'!M194),('Forecast Parameters'!N187-'Forecast Parameters'!M187))*SUM($B$41:$B$44)</f>
        <v>0</v>
      </c>
      <c r="M41" s="18">
        <f>L41+IF('Business As Usual'!$B$17="Low",('Forecast Parameters'!O194-'Forecast Parameters'!N194),('Forecast Parameters'!O187-'Forecast Parameters'!N187))*SUM($B$41:$B$44)</f>
        <v>0</v>
      </c>
      <c r="N41" s="18">
        <f>M41+IF('Business As Usual'!$B$17="Low",('Forecast Parameters'!P194-'Forecast Parameters'!O194),('Forecast Parameters'!P187-'Forecast Parameters'!O187))*SUM($B$41:$B$44)</f>
        <v>0</v>
      </c>
      <c r="O41" s="18">
        <f>N41+IF('Business As Usual'!$B$17="Low",('Forecast Parameters'!Q194-'Forecast Parameters'!P194),('Forecast Parameters'!Q187-'Forecast Parameters'!P187))*SUM($B$41:$B$44)</f>
        <v>0</v>
      </c>
      <c r="P41" s="18">
        <f>O41+IF('Business As Usual'!$B$17="Low",('Forecast Parameters'!R194-'Forecast Parameters'!Q194),('Forecast Parameters'!R187-'Forecast Parameters'!Q187))*SUM($B$41:$B$44)</f>
        <v>0</v>
      </c>
      <c r="Q41" s="18">
        <f>P41+IF('Business As Usual'!$B$17="Low",('Forecast Parameters'!S194-'Forecast Parameters'!R194),('Forecast Parameters'!S187-'Forecast Parameters'!R187))*SUM($B$41:$B$44)</f>
        <v>0</v>
      </c>
      <c r="R41" s="18">
        <f>Q41+IF('Business As Usual'!$B$17="Low",('Forecast Parameters'!T194-'Forecast Parameters'!S194),('Forecast Parameters'!T187-'Forecast Parameters'!S187))*SUM($B$41:$B$44)</f>
        <v>0</v>
      </c>
      <c r="S41" s="18">
        <f>R41+IF('Business As Usual'!$B$17="Low",('Forecast Parameters'!U194-'Forecast Parameters'!T194),('Forecast Parameters'!U187-'Forecast Parameters'!T187))*SUM($B$41:$B$44)</f>
        <v>0</v>
      </c>
      <c r="T41" s="18">
        <f>S41+IF('Business As Usual'!$B$17="Low",('Forecast Parameters'!V194-'Forecast Parameters'!U194),('Forecast Parameters'!V187-'Forecast Parameters'!U187))*SUM($B$41:$B$44)</f>
        <v>0</v>
      </c>
      <c r="U41" s="18">
        <f>T41+IF('Business As Usual'!$B$17="Low",('Forecast Parameters'!W194-'Forecast Parameters'!V194),('Forecast Parameters'!W187-'Forecast Parameters'!V187))*SUM($B$41:$B$44)</f>
        <v>0</v>
      </c>
      <c r="V41" s="18">
        <f>U41+IF('Business As Usual'!$B$17="Low",('Forecast Parameters'!X194-'Forecast Parameters'!W194),('Forecast Parameters'!X187-'Forecast Parameters'!W187))*SUM($B$41:$B$44)</f>
        <v>0</v>
      </c>
      <c r="W41" s="18">
        <f>V41+IF('Business As Usual'!$B$17="Low",('Forecast Parameters'!Y194-'Forecast Parameters'!X194),('Forecast Parameters'!Y187-'Forecast Parameters'!X187))*SUM($B$41:$B$44)</f>
        <v>0</v>
      </c>
      <c r="X41" s="18">
        <f>W41+IF('Business As Usual'!$B$17="Low",('Forecast Parameters'!Z194-'Forecast Parameters'!Y194),('Forecast Parameters'!Z187-'Forecast Parameters'!Y187))*SUM($B$41:$B$44)</f>
        <v>0</v>
      </c>
      <c r="Y41" s="18">
        <f>X41+IF('Business As Usual'!$B$17="Low",('Forecast Parameters'!AA194-'Forecast Parameters'!Z194),('Forecast Parameters'!AA187-'Forecast Parameters'!Z187))*SUM($B$41:$B$44)</f>
        <v>0</v>
      </c>
      <c r="Z41" s="18">
        <f>Y41+IF('Business As Usual'!$B$17="Low",('Forecast Parameters'!AB194-'Forecast Parameters'!AA194),('Forecast Parameters'!AB187-'Forecast Parameters'!AA187))*SUM($B$41:$B$44)</f>
        <v>0</v>
      </c>
      <c r="AA41" s="18">
        <f>Z41+IF('Business As Usual'!$B$17="Low",('Forecast Parameters'!AC194-'Forecast Parameters'!AB194),('Forecast Parameters'!AC187-'Forecast Parameters'!AB187))*SUM($B$41:$B$44)</f>
        <v>0</v>
      </c>
      <c r="AB41" s="18">
        <f>AA41+IF('Business As Usual'!$B$17="Low",('Forecast Parameters'!AD194-'Forecast Parameters'!AC194),('Forecast Parameters'!AD187-'Forecast Parameters'!AC187))*SUM($B$41:$B$44)</f>
        <v>0</v>
      </c>
      <c r="AC41" s="18">
        <f>AB41+IF('Business As Usual'!$B$17="Low",('Forecast Parameters'!AE194-'Forecast Parameters'!AD194),('Forecast Parameters'!AE187-'Forecast Parameters'!AD187))*SUM($B$41:$B$44)</f>
        <v>0</v>
      </c>
    </row>
    <row r="42" spans="1:29" s="32" customFormat="1" ht="20.399999999999999" x14ac:dyDescent="0.3">
      <c r="A42" s="135" t="s">
        <v>44</v>
      </c>
      <c r="B42" s="27">
        <f>B189/$B$23</f>
        <v>4.6582332747658564E-2</v>
      </c>
      <c r="C42" s="18">
        <f>B42-(C41-B41)*($B$42/SUM($B$42:$B$44))</f>
        <v>4.6582332747658564E-2</v>
      </c>
      <c r="D42" s="18">
        <f t="shared" ref="D42:AC42" si="12">C42-(D41-C41)*($B$42/SUM($B$42:$B$44))</f>
        <v>4.6582332747658564E-2</v>
      </c>
      <c r="E42" s="18">
        <f t="shared" si="12"/>
        <v>4.6582332747658564E-2</v>
      </c>
      <c r="F42" s="18">
        <f t="shared" si="12"/>
        <v>4.6582332747658564E-2</v>
      </c>
      <c r="G42" s="18">
        <f t="shared" si="12"/>
        <v>4.6582332747658564E-2</v>
      </c>
      <c r="H42" s="18">
        <f t="shared" si="12"/>
        <v>4.6582332747658564E-2</v>
      </c>
      <c r="I42" s="18">
        <f t="shared" si="12"/>
        <v>4.6582332747658564E-2</v>
      </c>
      <c r="J42" s="18">
        <f t="shared" si="12"/>
        <v>4.6582332747658564E-2</v>
      </c>
      <c r="K42" s="18">
        <f t="shared" si="12"/>
        <v>4.6582332747658564E-2</v>
      </c>
      <c r="L42" s="18">
        <f t="shared" si="12"/>
        <v>4.6582332747658564E-2</v>
      </c>
      <c r="M42" s="18">
        <f t="shared" si="12"/>
        <v>4.6582332747658564E-2</v>
      </c>
      <c r="N42" s="18">
        <f t="shared" si="12"/>
        <v>4.6582332747658564E-2</v>
      </c>
      <c r="O42" s="18">
        <f t="shared" si="12"/>
        <v>4.6582332747658564E-2</v>
      </c>
      <c r="P42" s="18">
        <f t="shared" si="12"/>
        <v>4.6582332747658564E-2</v>
      </c>
      <c r="Q42" s="18">
        <f t="shared" si="12"/>
        <v>4.6582332747658564E-2</v>
      </c>
      <c r="R42" s="18">
        <f t="shared" si="12"/>
        <v>4.6582332747658564E-2</v>
      </c>
      <c r="S42" s="18">
        <f t="shared" si="12"/>
        <v>4.6582332747658564E-2</v>
      </c>
      <c r="T42" s="18">
        <f t="shared" si="12"/>
        <v>4.6582332747658564E-2</v>
      </c>
      <c r="U42" s="18">
        <f t="shared" si="12"/>
        <v>4.6582332747658564E-2</v>
      </c>
      <c r="V42" s="18">
        <f t="shared" si="12"/>
        <v>4.6582332747658564E-2</v>
      </c>
      <c r="W42" s="18">
        <f t="shared" si="12"/>
        <v>4.6582332747658564E-2</v>
      </c>
      <c r="X42" s="18">
        <f t="shared" si="12"/>
        <v>4.6582332747658564E-2</v>
      </c>
      <c r="Y42" s="18">
        <f t="shared" si="12"/>
        <v>4.6582332747658564E-2</v>
      </c>
      <c r="Z42" s="18">
        <f t="shared" si="12"/>
        <v>4.6582332747658564E-2</v>
      </c>
      <c r="AA42" s="18">
        <f t="shared" si="12"/>
        <v>4.6582332747658564E-2</v>
      </c>
      <c r="AB42" s="18">
        <f t="shared" si="12"/>
        <v>4.6582332747658564E-2</v>
      </c>
      <c r="AC42" s="18">
        <f t="shared" si="12"/>
        <v>4.6582332747658564E-2</v>
      </c>
    </row>
    <row r="43" spans="1:29" s="32" customFormat="1" ht="20.399999999999999" x14ac:dyDescent="0.3">
      <c r="A43" s="135" t="s">
        <v>55</v>
      </c>
      <c r="B43" s="27">
        <f>C189/$B$23</f>
        <v>5.1758147497398413E-3</v>
      </c>
      <c r="C43" s="18">
        <f>B43-(C41-B41)*($B$43/SUM($B$42:$B$44))</f>
        <v>5.1758147497398413E-3</v>
      </c>
      <c r="D43" s="18">
        <f t="shared" ref="D43:AC43" si="13">C43-(D41-C41)*($B$43/SUM($B$42:$B$44))</f>
        <v>5.1758147497398413E-3</v>
      </c>
      <c r="E43" s="18">
        <f t="shared" si="13"/>
        <v>5.1758147497398413E-3</v>
      </c>
      <c r="F43" s="18">
        <f t="shared" si="13"/>
        <v>5.1758147497398413E-3</v>
      </c>
      <c r="G43" s="18">
        <f t="shared" si="13"/>
        <v>5.1758147497398413E-3</v>
      </c>
      <c r="H43" s="18">
        <f t="shared" si="13"/>
        <v>5.1758147497398413E-3</v>
      </c>
      <c r="I43" s="18">
        <f t="shared" si="13"/>
        <v>5.1758147497398413E-3</v>
      </c>
      <c r="J43" s="18">
        <f t="shared" si="13"/>
        <v>5.1758147497398413E-3</v>
      </c>
      <c r="K43" s="18">
        <f t="shared" si="13"/>
        <v>5.1758147497398413E-3</v>
      </c>
      <c r="L43" s="18">
        <f t="shared" si="13"/>
        <v>5.1758147497398413E-3</v>
      </c>
      <c r="M43" s="18">
        <f t="shared" si="13"/>
        <v>5.1758147497398413E-3</v>
      </c>
      <c r="N43" s="18">
        <f t="shared" si="13"/>
        <v>5.1758147497398413E-3</v>
      </c>
      <c r="O43" s="18">
        <f t="shared" si="13"/>
        <v>5.1758147497398413E-3</v>
      </c>
      <c r="P43" s="18">
        <f t="shared" si="13"/>
        <v>5.1758147497398413E-3</v>
      </c>
      <c r="Q43" s="18">
        <f t="shared" si="13"/>
        <v>5.1758147497398413E-3</v>
      </c>
      <c r="R43" s="18">
        <f t="shared" si="13"/>
        <v>5.1758147497398413E-3</v>
      </c>
      <c r="S43" s="18">
        <f t="shared" si="13"/>
        <v>5.1758147497398413E-3</v>
      </c>
      <c r="T43" s="18">
        <f t="shared" si="13"/>
        <v>5.1758147497398413E-3</v>
      </c>
      <c r="U43" s="18">
        <f t="shared" si="13"/>
        <v>5.1758147497398413E-3</v>
      </c>
      <c r="V43" s="18">
        <f t="shared" si="13"/>
        <v>5.1758147497398413E-3</v>
      </c>
      <c r="W43" s="18">
        <f t="shared" si="13"/>
        <v>5.1758147497398413E-3</v>
      </c>
      <c r="X43" s="18">
        <f t="shared" si="13"/>
        <v>5.1758147497398413E-3</v>
      </c>
      <c r="Y43" s="18">
        <f t="shared" si="13"/>
        <v>5.1758147497398413E-3</v>
      </c>
      <c r="Z43" s="18">
        <f t="shared" si="13"/>
        <v>5.1758147497398413E-3</v>
      </c>
      <c r="AA43" s="18">
        <f t="shared" si="13"/>
        <v>5.1758147497398413E-3</v>
      </c>
      <c r="AB43" s="18">
        <f t="shared" si="13"/>
        <v>5.1758147497398413E-3</v>
      </c>
      <c r="AC43" s="18">
        <f t="shared" si="13"/>
        <v>5.1758147497398413E-3</v>
      </c>
    </row>
    <row r="44" spans="1:29" s="32" customFormat="1" ht="23.25" customHeight="1" x14ac:dyDescent="0.3">
      <c r="A44" s="135" t="s">
        <v>54</v>
      </c>
      <c r="B44" s="27">
        <f>D189/$B$23</f>
        <v>5.1758147497398405E-2</v>
      </c>
      <c r="C44" s="18">
        <f>B44-(C41-B41)*($B$44/SUM($B$42:$B$44))</f>
        <v>5.1758147497398405E-2</v>
      </c>
      <c r="D44" s="18">
        <f t="shared" ref="D44:AC44" si="14">C44-(D41-C41)*($B$44/SUM($B$42:$B$44))</f>
        <v>5.1758147497398405E-2</v>
      </c>
      <c r="E44" s="18">
        <f t="shared" si="14"/>
        <v>5.1758147497398405E-2</v>
      </c>
      <c r="F44" s="18">
        <f t="shared" si="14"/>
        <v>5.1758147497398405E-2</v>
      </c>
      <c r="G44" s="18">
        <f t="shared" si="14"/>
        <v>5.1758147497398405E-2</v>
      </c>
      <c r="H44" s="18">
        <f t="shared" si="14"/>
        <v>5.1758147497398405E-2</v>
      </c>
      <c r="I44" s="18">
        <f t="shared" si="14"/>
        <v>5.1758147497398405E-2</v>
      </c>
      <c r="J44" s="18">
        <f t="shared" si="14"/>
        <v>5.1758147497398405E-2</v>
      </c>
      <c r="K44" s="18">
        <f t="shared" si="14"/>
        <v>5.1758147497398405E-2</v>
      </c>
      <c r="L44" s="18">
        <f t="shared" si="14"/>
        <v>5.1758147497398405E-2</v>
      </c>
      <c r="M44" s="18">
        <f t="shared" si="14"/>
        <v>5.1758147497398405E-2</v>
      </c>
      <c r="N44" s="18">
        <f t="shared" si="14"/>
        <v>5.1758147497398405E-2</v>
      </c>
      <c r="O44" s="18">
        <f t="shared" si="14"/>
        <v>5.1758147497398405E-2</v>
      </c>
      <c r="P44" s="18">
        <f t="shared" si="14"/>
        <v>5.1758147497398405E-2</v>
      </c>
      <c r="Q44" s="18">
        <f t="shared" si="14"/>
        <v>5.1758147497398405E-2</v>
      </c>
      <c r="R44" s="18">
        <f t="shared" si="14"/>
        <v>5.1758147497398405E-2</v>
      </c>
      <c r="S44" s="18">
        <f t="shared" si="14"/>
        <v>5.1758147497398405E-2</v>
      </c>
      <c r="T44" s="18">
        <f t="shared" si="14"/>
        <v>5.1758147497398405E-2</v>
      </c>
      <c r="U44" s="18">
        <f t="shared" si="14"/>
        <v>5.1758147497398405E-2</v>
      </c>
      <c r="V44" s="18">
        <f t="shared" si="14"/>
        <v>5.1758147497398405E-2</v>
      </c>
      <c r="W44" s="18">
        <f t="shared" si="14"/>
        <v>5.1758147497398405E-2</v>
      </c>
      <c r="X44" s="18">
        <f t="shared" si="14"/>
        <v>5.1758147497398405E-2</v>
      </c>
      <c r="Y44" s="18">
        <f t="shared" si="14"/>
        <v>5.1758147497398405E-2</v>
      </c>
      <c r="Z44" s="18">
        <f t="shared" si="14"/>
        <v>5.1758147497398405E-2</v>
      </c>
      <c r="AA44" s="18">
        <f t="shared" si="14"/>
        <v>5.1758147497398405E-2</v>
      </c>
      <c r="AB44" s="18">
        <f t="shared" si="14"/>
        <v>5.1758147497398405E-2</v>
      </c>
      <c r="AC44" s="18">
        <f t="shared" si="14"/>
        <v>5.1758147497398405E-2</v>
      </c>
    </row>
    <row r="45" spans="1:29" s="134" customFormat="1" x14ac:dyDescent="0.85">
      <c r="A45" s="89" t="s">
        <v>210</v>
      </c>
      <c r="B45" s="257"/>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50"/>
    </row>
    <row r="46" spans="1:29" s="32" customFormat="1" ht="20.399999999999999" x14ac:dyDescent="0.3">
      <c r="A46" s="135" t="s">
        <v>206</v>
      </c>
      <c r="B46" s="18">
        <f>B208*SUM($B$202:$B$202)/$B$23</f>
        <v>0</v>
      </c>
      <c r="C46" s="18">
        <f>B46+IF('Business As Usual'!$B$17="Low",0%,('Forecast Parameters'!E188-'Forecast Parameters'!D188))*SUM($B$46:$B$49)</f>
        <v>0</v>
      </c>
      <c r="D46" s="18">
        <f>C46+IF('Business As Usual'!$B$17="Low",0%,('Forecast Parameters'!F188-'Forecast Parameters'!E188))*SUM($B$46:$B$49)</f>
        <v>0</v>
      </c>
      <c r="E46" s="18">
        <f>D46+IF('Business As Usual'!$B$17="Low",0%,('Forecast Parameters'!G188-'Forecast Parameters'!F188))*SUM($B$46:$B$49)</f>
        <v>0</v>
      </c>
      <c r="F46" s="18">
        <f>E46+IF('Business As Usual'!$B$17="Low",0%,('Forecast Parameters'!H188-'Forecast Parameters'!G188))*SUM($B$46:$B$49)</f>
        <v>0</v>
      </c>
      <c r="G46" s="18">
        <f>F46+IF('Business As Usual'!$B$17="Low",0%,('Forecast Parameters'!I188-'Forecast Parameters'!H188))*SUM($B$46:$B$49)</f>
        <v>0</v>
      </c>
      <c r="H46" s="18">
        <f>G46+IF('Business As Usual'!$B$17="Low",0%,('Forecast Parameters'!J188-'Forecast Parameters'!I188))*SUM($B$46:$B$49)</f>
        <v>0</v>
      </c>
      <c r="I46" s="18">
        <f>H46+IF('Business As Usual'!$B$17="Low",0%,('Forecast Parameters'!K188-'Forecast Parameters'!J188))*SUM($B$46:$B$49)</f>
        <v>0</v>
      </c>
      <c r="J46" s="18">
        <f>I46+IF('Business As Usual'!$B$17="Low",0%,('Forecast Parameters'!L188-'Forecast Parameters'!K188))*SUM($B$46:$B$49)</f>
        <v>0</v>
      </c>
      <c r="K46" s="18">
        <f>J46+IF('Business As Usual'!$B$17="Low",0%,('Forecast Parameters'!M188-'Forecast Parameters'!L188))*SUM($B$46:$B$49)</f>
        <v>0</v>
      </c>
      <c r="L46" s="18">
        <f>K46+IF('Business As Usual'!$B$17="Low",0%,('Forecast Parameters'!N188-'Forecast Parameters'!M188))*SUM($B$46:$B$49)</f>
        <v>0</v>
      </c>
      <c r="M46" s="18">
        <f>L46+IF('Business As Usual'!$B$17="Low",0%,('Forecast Parameters'!O188-'Forecast Parameters'!N188))*SUM($B$46:$B$49)</f>
        <v>0</v>
      </c>
      <c r="N46" s="18">
        <f>M46+IF('Business As Usual'!$B$17="Low",0%,('Forecast Parameters'!P188-'Forecast Parameters'!O188))*SUM($B$46:$B$49)</f>
        <v>0</v>
      </c>
      <c r="O46" s="18">
        <f>N46+IF('Business As Usual'!$B$17="Low",0%,('Forecast Parameters'!Q188-'Forecast Parameters'!P188))*SUM($B$46:$B$49)</f>
        <v>0</v>
      </c>
      <c r="P46" s="18">
        <f>O46+IF('Business As Usual'!$B$17="Low",0%,('Forecast Parameters'!R188-'Forecast Parameters'!Q188))*SUM($B$46:$B$49)</f>
        <v>0</v>
      </c>
      <c r="Q46" s="18">
        <f>P46+IF('Business As Usual'!$B$17="Low",0%,('Forecast Parameters'!S188-'Forecast Parameters'!R188))*SUM($B$46:$B$49)</f>
        <v>0</v>
      </c>
      <c r="R46" s="18">
        <f>Q46+IF('Business As Usual'!$B$17="Low",0%,('Forecast Parameters'!T188-'Forecast Parameters'!S188))*SUM($B$46:$B$49)</f>
        <v>0</v>
      </c>
      <c r="S46" s="18">
        <f>R46+IF('Business As Usual'!$B$17="Low",0%,('Forecast Parameters'!U188-'Forecast Parameters'!T188))*SUM($B$46:$B$49)</f>
        <v>0</v>
      </c>
      <c r="T46" s="18">
        <f>S46+IF('Business As Usual'!$B$17="Low",0%,('Forecast Parameters'!V188-'Forecast Parameters'!U188))*SUM($B$46:$B$49)</f>
        <v>0</v>
      </c>
      <c r="U46" s="18">
        <f>T46+IF('Business As Usual'!$B$17="Low",0%,('Forecast Parameters'!W188-'Forecast Parameters'!V188))*SUM($B$46:$B$49)</f>
        <v>0</v>
      </c>
      <c r="V46" s="18">
        <f>U46+IF('Business As Usual'!$B$17="Low",0%,('Forecast Parameters'!X188-'Forecast Parameters'!W188))*SUM($B$46:$B$49)</f>
        <v>0</v>
      </c>
      <c r="W46" s="18">
        <f>V46+IF('Business As Usual'!$B$17="Low",0%,('Forecast Parameters'!Y188-'Forecast Parameters'!X188))*SUM($B$46:$B$49)</f>
        <v>0</v>
      </c>
      <c r="X46" s="18">
        <f>W46+IF('Business As Usual'!$B$17="Low",0%,('Forecast Parameters'!Z188-'Forecast Parameters'!Y188))*SUM($B$46:$B$49)</f>
        <v>0</v>
      </c>
      <c r="Y46" s="18">
        <f>X46+IF('Business As Usual'!$B$17="Low",0%,('Forecast Parameters'!AA188-'Forecast Parameters'!Z188))*SUM($B$46:$B$49)</f>
        <v>0</v>
      </c>
      <c r="Z46" s="18">
        <f>Y46+IF('Business As Usual'!$B$17="Low",0%,('Forecast Parameters'!AB188-'Forecast Parameters'!AA188))*SUM($B$46:$B$49)</f>
        <v>0</v>
      </c>
      <c r="AA46" s="18">
        <f>Z46+IF('Business As Usual'!$B$17="Low",0%,('Forecast Parameters'!AC188-'Forecast Parameters'!AB188))*SUM($B$46:$B$49)</f>
        <v>0</v>
      </c>
      <c r="AB46" s="18">
        <f>AA46+IF('Business As Usual'!$B$17="Low",0%,('Forecast Parameters'!AD188-'Forecast Parameters'!AC188))*SUM($B$46:$B$49)</f>
        <v>0</v>
      </c>
      <c r="AC46" s="18">
        <f>AB46+IF('Business As Usual'!$B$17="Low",0%,('Forecast Parameters'!AE188-'Forecast Parameters'!AD188))*SUM($B$46:$B$49)</f>
        <v>0</v>
      </c>
    </row>
    <row r="47" spans="1:29" s="32" customFormat="1" ht="20.399999999999999" x14ac:dyDescent="0.3">
      <c r="A47" s="135" t="s">
        <v>44</v>
      </c>
      <c r="B47" s="27">
        <f>B190/$B$23</f>
        <v>5.5575454319739528E-3</v>
      </c>
      <c r="C47" s="18">
        <f>B47-(C46-B46)*($B$47/SUM($B$47:$B$49))</f>
        <v>5.5575454319739528E-3</v>
      </c>
      <c r="D47" s="18">
        <f t="shared" ref="D47:AC47" si="15">C47-(D46-C46)*($B$47/SUM($B$47:$B$49))</f>
        <v>5.5575454319739528E-3</v>
      </c>
      <c r="E47" s="18">
        <f t="shared" si="15"/>
        <v>5.5575454319739528E-3</v>
      </c>
      <c r="F47" s="18">
        <f t="shared" si="15"/>
        <v>5.5575454319739528E-3</v>
      </c>
      <c r="G47" s="18">
        <f t="shared" si="15"/>
        <v>5.5575454319739528E-3</v>
      </c>
      <c r="H47" s="18">
        <f t="shared" si="15"/>
        <v>5.5575454319739528E-3</v>
      </c>
      <c r="I47" s="18">
        <f t="shared" si="15"/>
        <v>5.5575454319739528E-3</v>
      </c>
      <c r="J47" s="18">
        <f t="shared" si="15"/>
        <v>5.5575454319739528E-3</v>
      </c>
      <c r="K47" s="18">
        <f t="shared" si="15"/>
        <v>5.5575454319739528E-3</v>
      </c>
      <c r="L47" s="18">
        <f t="shared" si="15"/>
        <v>5.5575454319739528E-3</v>
      </c>
      <c r="M47" s="18">
        <f t="shared" si="15"/>
        <v>5.5575454319739528E-3</v>
      </c>
      <c r="N47" s="18">
        <f t="shared" si="15"/>
        <v>5.5575454319739528E-3</v>
      </c>
      <c r="O47" s="18">
        <f t="shared" si="15"/>
        <v>5.5575454319739528E-3</v>
      </c>
      <c r="P47" s="18">
        <f t="shared" si="15"/>
        <v>5.5575454319739528E-3</v>
      </c>
      <c r="Q47" s="18">
        <f t="shared" si="15"/>
        <v>5.5575454319739528E-3</v>
      </c>
      <c r="R47" s="18">
        <f t="shared" si="15"/>
        <v>5.5575454319739528E-3</v>
      </c>
      <c r="S47" s="18">
        <f t="shared" si="15"/>
        <v>5.5575454319739528E-3</v>
      </c>
      <c r="T47" s="18">
        <f t="shared" si="15"/>
        <v>5.5575454319739528E-3</v>
      </c>
      <c r="U47" s="18">
        <f t="shared" si="15"/>
        <v>5.5575454319739528E-3</v>
      </c>
      <c r="V47" s="18">
        <f t="shared" si="15"/>
        <v>5.5575454319739528E-3</v>
      </c>
      <c r="W47" s="18">
        <f t="shared" si="15"/>
        <v>5.5575454319739528E-3</v>
      </c>
      <c r="X47" s="18">
        <f t="shared" si="15"/>
        <v>5.5575454319739528E-3</v>
      </c>
      <c r="Y47" s="18">
        <f t="shared" si="15"/>
        <v>5.5575454319739528E-3</v>
      </c>
      <c r="Z47" s="18">
        <f t="shared" si="15"/>
        <v>5.5575454319739528E-3</v>
      </c>
      <c r="AA47" s="18">
        <f t="shared" si="15"/>
        <v>5.5575454319739528E-3</v>
      </c>
      <c r="AB47" s="18">
        <f t="shared" si="15"/>
        <v>5.5575454319739528E-3</v>
      </c>
      <c r="AC47" s="18">
        <f t="shared" si="15"/>
        <v>5.5575454319739528E-3</v>
      </c>
    </row>
    <row r="48" spans="1:29" s="32" customFormat="1" ht="20.399999999999999" x14ac:dyDescent="0.3">
      <c r="A48" s="135" t="s">
        <v>55</v>
      </c>
      <c r="B48" s="27">
        <f>C190/$B$23</f>
        <v>6.1750504799710593E-4</v>
      </c>
      <c r="C48" s="18">
        <f>B48-(C46-B46)*($B$48/SUM($B$47:$B$49))</f>
        <v>6.1750504799710593E-4</v>
      </c>
      <c r="D48" s="18">
        <f t="shared" ref="D48:AC48" si="16">C48-(D46-C46)*($B$48/SUM($B$47:$B$49))</f>
        <v>6.1750504799710593E-4</v>
      </c>
      <c r="E48" s="18">
        <f t="shared" si="16"/>
        <v>6.1750504799710593E-4</v>
      </c>
      <c r="F48" s="18">
        <f t="shared" si="16"/>
        <v>6.1750504799710593E-4</v>
      </c>
      <c r="G48" s="18">
        <f t="shared" si="16"/>
        <v>6.1750504799710593E-4</v>
      </c>
      <c r="H48" s="18">
        <f t="shared" si="16"/>
        <v>6.1750504799710593E-4</v>
      </c>
      <c r="I48" s="18">
        <f t="shared" si="16"/>
        <v>6.1750504799710593E-4</v>
      </c>
      <c r="J48" s="18">
        <f t="shared" si="16"/>
        <v>6.1750504799710593E-4</v>
      </c>
      <c r="K48" s="18">
        <f t="shared" si="16"/>
        <v>6.1750504799710593E-4</v>
      </c>
      <c r="L48" s="18">
        <f t="shared" si="16"/>
        <v>6.1750504799710593E-4</v>
      </c>
      <c r="M48" s="18">
        <f t="shared" si="16"/>
        <v>6.1750504799710593E-4</v>
      </c>
      <c r="N48" s="18">
        <f t="shared" si="16"/>
        <v>6.1750504799710593E-4</v>
      </c>
      <c r="O48" s="18">
        <f t="shared" si="16"/>
        <v>6.1750504799710593E-4</v>
      </c>
      <c r="P48" s="18">
        <f t="shared" si="16"/>
        <v>6.1750504799710593E-4</v>
      </c>
      <c r="Q48" s="18">
        <f t="shared" si="16"/>
        <v>6.1750504799710593E-4</v>
      </c>
      <c r="R48" s="18">
        <f t="shared" si="16"/>
        <v>6.1750504799710593E-4</v>
      </c>
      <c r="S48" s="18">
        <f t="shared" si="16"/>
        <v>6.1750504799710593E-4</v>
      </c>
      <c r="T48" s="18">
        <f t="shared" si="16"/>
        <v>6.1750504799710593E-4</v>
      </c>
      <c r="U48" s="18">
        <f t="shared" si="16"/>
        <v>6.1750504799710593E-4</v>
      </c>
      <c r="V48" s="18">
        <f t="shared" si="16"/>
        <v>6.1750504799710593E-4</v>
      </c>
      <c r="W48" s="18">
        <f t="shared" si="16"/>
        <v>6.1750504799710593E-4</v>
      </c>
      <c r="X48" s="18">
        <f t="shared" si="16"/>
        <v>6.1750504799710593E-4</v>
      </c>
      <c r="Y48" s="18">
        <f t="shared" si="16"/>
        <v>6.1750504799710593E-4</v>
      </c>
      <c r="Z48" s="18">
        <f t="shared" si="16"/>
        <v>6.1750504799710593E-4</v>
      </c>
      <c r="AA48" s="18">
        <f t="shared" si="16"/>
        <v>6.1750504799710593E-4</v>
      </c>
      <c r="AB48" s="18">
        <f t="shared" si="16"/>
        <v>6.1750504799710593E-4</v>
      </c>
      <c r="AC48" s="18">
        <f t="shared" si="16"/>
        <v>6.1750504799710593E-4</v>
      </c>
    </row>
    <row r="49" spans="1:29" s="32" customFormat="1" ht="23.25" customHeight="1" x14ac:dyDescent="0.3">
      <c r="A49" s="136" t="s">
        <v>54</v>
      </c>
      <c r="B49" s="27">
        <f>D190/$B$23</f>
        <v>0</v>
      </c>
      <c r="C49" s="104">
        <f>B49-(C46-B46)*($B$49/SUM($B$47:$B$49))</f>
        <v>0</v>
      </c>
      <c r="D49" s="104">
        <f t="shared" ref="D49:AC49" si="17">C49-(D46-C46)*($B$49/SUM($B$47:$B$49))</f>
        <v>0</v>
      </c>
      <c r="E49" s="104">
        <f t="shared" si="17"/>
        <v>0</v>
      </c>
      <c r="F49" s="104">
        <f t="shared" si="17"/>
        <v>0</v>
      </c>
      <c r="G49" s="104">
        <f t="shared" si="17"/>
        <v>0</v>
      </c>
      <c r="H49" s="104">
        <f t="shared" si="17"/>
        <v>0</v>
      </c>
      <c r="I49" s="104">
        <f t="shared" si="17"/>
        <v>0</v>
      </c>
      <c r="J49" s="104">
        <f t="shared" si="17"/>
        <v>0</v>
      </c>
      <c r="K49" s="104">
        <f t="shared" si="17"/>
        <v>0</v>
      </c>
      <c r="L49" s="104">
        <f t="shared" si="17"/>
        <v>0</v>
      </c>
      <c r="M49" s="104">
        <f t="shared" si="17"/>
        <v>0</v>
      </c>
      <c r="N49" s="104">
        <f t="shared" si="17"/>
        <v>0</v>
      </c>
      <c r="O49" s="104">
        <f t="shared" si="17"/>
        <v>0</v>
      </c>
      <c r="P49" s="104">
        <f t="shared" si="17"/>
        <v>0</v>
      </c>
      <c r="Q49" s="104">
        <f t="shared" si="17"/>
        <v>0</v>
      </c>
      <c r="R49" s="104">
        <f t="shared" si="17"/>
        <v>0</v>
      </c>
      <c r="S49" s="104">
        <f t="shared" si="17"/>
        <v>0</v>
      </c>
      <c r="T49" s="104">
        <f t="shared" si="17"/>
        <v>0</v>
      </c>
      <c r="U49" s="104">
        <f t="shared" si="17"/>
        <v>0</v>
      </c>
      <c r="V49" s="104">
        <f t="shared" si="17"/>
        <v>0</v>
      </c>
      <c r="W49" s="104">
        <f t="shared" si="17"/>
        <v>0</v>
      </c>
      <c r="X49" s="104">
        <f t="shared" si="17"/>
        <v>0</v>
      </c>
      <c r="Y49" s="104">
        <f t="shared" si="17"/>
        <v>0</v>
      </c>
      <c r="Z49" s="104">
        <f t="shared" si="17"/>
        <v>0</v>
      </c>
      <c r="AA49" s="104">
        <f t="shared" si="17"/>
        <v>0</v>
      </c>
      <c r="AB49" s="104">
        <f t="shared" si="17"/>
        <v>0</v>
      </c>
      <c r="AC49" s="104">
        <f t="shared" si="17"/>
        <v>0</v>
      </c>
    </row>
    <row r="50" spans="1:29" s="354" customFormat="1" ht="23.25" customHeight="1" x14ac:dyDescent="0.3">
      <c r="A50" s="352" t="s">
        <v>444</v>
      </c>
      <c r="B50" s="353">
        <f>SUM(B25:B49)</f>
        <v>0.99930609363235656</v>
      </c>
      <c r="C50" s="353">
        <f t="shared" ref="C50:AC50" si="18">SUM(C25:C49)</f>
        <v>0.99930609363235678</v>
      </c>
      <c r="D50" s="353">
        <f t="shared" si="18"/>
        <v>0.99930609363235667</v>
      </c>
      <c r="E50" s="353">
        <f t="shared" si="18"/>
        <v>0.99930609363235678</v>
      </c>
      <c r="F50" s="353">
        <f t="shared" si="18"/>
        <v>0.99930609363235656</v>
      </c>
      <c r="G50" s="353">
        <f>SUM(G25:G49)</f>
        <v>0.99930609363235667</v>
      </c>
      <c r="H50" s="353">
        <f t="shared" si="18"/>
        <v>0.99930609363235667</v>
      </c>
      <c r="I50" s="353">
        <f t="shared" si="18"/>
        <v>0.99930609363235678</v>
      </c>
      <c r="J50" s="353">
        <f t="shared" si="18"/>
        <v>0.9993060936323569</v>
      </c>
      <c r="K50" s="353">
        <f t="shared" si="18"/>
        <v>0.99930609363235656</v>
      </c>
      <c r="L50" s="353">
        <f t="shared" si="18"/>
        <v>0.99930609363235667</v>
      </c>
      <c r="M50" s="353">
        <f t="shared" si="18"/>
        <v>0.99930609363235667</v>
      </c>
      <c r="N50" s="353">
        <f t="shared" si="18"/>
        <v>0.99930609363235678</v>
      </c>
      <c r="O50" s="353">
        <f t="shared" si="18"/>
        <v>0.99930609363235667</v>
      </c>
      <c r="P50" s="353">
        <f t="shared" si="18"/>
        <v>0.9993060936323569</v>
      </c>
      <c r="Q50" s="353">
        <f t="shared" si="18"/>
        <v>0.9993060936323569</v>
      </c>
      <c r="R50" s="353">
        <f t="shared" si="18"/>
        <v>0.99930609363235678</v>
      </c>
      <c r="S50" s="353">
        <f t="shared" si="18"/>
        <v>0.99930609363235656</v>
      </c>
      <c r="T50" s="353">
        <f t="shared" si="18"/>
        <v>0.9993060936323569</v>
      </c>
      <c r="U50" s="353">
        <f t="shared" si="18"/>
        <v>0.99930609363235667</v>
      </c>
      <c r="V50" s="353">
        <f t="shared" si="18"/>
        <v>0.99930609363235701</v>
      </c>
      <c r="W50" s="353">
        <f t="shared" si="18"/>
        <v>0.9993060936323569</v>
      </c>
      <c r="X50" s="353">
        <f t="shared" si="18"/>
        <v>0.99930609363235701</v>
      </c>
      <c r="Y50" s="353">
        <f t="shared" si="18"/>
        <v>0.99930609363235678</v>
      </c>
      <c r="Z50" s="353">
        <f t="shared" si="18"/>
        <v>0.99930609363235678</v>
      </c>
      <c r="AA50" s="353">
        <f t="shared" si="18"/>
        <v>0.99930609363235678</v>
      </c>
      <c r="AB50" s="353">
        <f t="shared" si="18"/>
        <v>0.99930609363235678</v>
      </c>
      <c r="AC50" s="353">
        <f t="shared" si="18"/>
        <v>0.99930609363235701</v>
      </c>
    </row>
    <row r="51" spans="1:29" s="134" customFormat="1" x14ac:dyDescent="0.85">
      <c r="A51" s="201" t="s">
        <v>123</v>
      </c>
      <c r="B51" s="201"/>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3"/>
    </row>
    <row r="52" spans="1:29" s="132" customFormat="1" x14ac:dyDescent="0.7">
      <c r="A52" s="256"/>
      <c r="B52" s="2">
        <v>2023</v>
      </c>
      <c r="C52" s="2">
        <v>2024</v>
      </c>
      <c r="D52" s="2">
        <v>2025</v>
      </c>
      <c r="E52" s="2">
        <v>2026</v>
      </c>
      <c r="F52" s="2">
        <v>2027</v>
      </c>
      <c r="G52" s="2">
        <v>2028</v>
      </c>
      <c r="H52" s="2">
        <v>2029</v>
      </c>
      <c r="I52" s="2">
        <v>2030</v>
      </c>
      <c r="J52" s="2">
        <v>2031</v>
      </c>
      <c r="K52" s="2">
        <v>2032</v>
      </c>
      <c r="L52" s="2">
        <v>2033</v>
      </c>
      <c r="M52" s="2">
        <v>2034</v>
      </c>
      <c r="N52" s="2">
        <v>2035</v>
      </c>
      <c r="O52" s="2">
        <v>2036</v>
      </c>
      <c r="P52" s="2">
        <v>2037</v>
      </c>
      <c r="Q52" s="2">
        <v>2038</v>
      </c>
      <c r="R52" s="2">
        <v>2039</v>
      </c>
      <c r="S52" s="2">
        <v>2040</v>
      </c>
      <c r="T52" s="2">
        <v>2041</v>
      </c>
      <c r="U52" s="2">
        <v>2042</v>
      </c>
      <c r="V52" s="2">
        <v>2043</v>
      </c>
      <c r="W52" s="2">
        <v>2044</v>
      </c>
      <c r="X52" s="2">
        <v>2045</v>
      </c>
      <c r="Y52" s="2">
        <v>2046</v>
      </c>
      <c r="Z52" s="2">
        <v>2047</v>
      </c>
      <c r="AA52" s="2">
        <v>2048</v>
      </c>
      <c r="AB52" s="2">
        <v>2049</v>
      </c>
      <c r="AC52" s="2">
        <v>2050</v>
      </c>
    </row>
    <row r="53" spans="1:29" s="134" customFormat="1" x14ac:dyDescent="0.85">
      <c r="A53" s="105" t="s">
        <v>219</v>
      </c>
      <c r="B53" s="258"/>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60"/>
    </row>
    <row r="54" spans="1:29" s="32" customFormat="1" ht="20.399999999999999" x14ac:dyDescent="0.3">
      <c r="A54" s="135" t="s">
        <v>266</v>
      </c>
      <c r="B54" s="67">
        <f>(1/3.6)</f>
        <v>0.27777777777777779</v>
      </c>
      <c r="C54" s="23">
        <f>B54*(1+'Forecast Parameters'!F168)</f>
        <v>0.27543695380774036</v>
      </c>
      <c r="D54" s="23">
        <f>C54*(1+'Forecast Parameters'!G168)</f>
        <v>0.27309612983770293</v>
      </c>
      <c r="E54" s="23">
        <f>D54*(1+'Forecast Parameters'!H168)</f>
        <v>0.27179567207657102</v>
      </c>
      <c r="F54" s="23">
        <f>E54*(1+'Forecast Parameters'!I168)</f>
        <v>0.2704952143154391</v>
      </c>
      <c r="G54" s="23">
        <f>F54*(1+'Forecast Parameters'!J168)</f>
        <v>0.26919475655430719</v>
      </c>
      <c r="H54" s="23">
        <f>G54*(1+'Forecast Parameters'!K168)</f>
        <v>0.26789429879317528</v>
      </c>
      <c r="I54" s="23">
        <f>H54*(1+'Forecast Parameters'!L168)</f>
        <v>0.26659384103204337</v>
      </c>
      <c r="J54" s="23">
        <f>I54*(1+'Forecast Parameters'!M168)</f>
        <v>0.26217228464419484</v>
      </c>
      <c r="K54" s="23">
        <f>J54*(1+'Forecast Parameters'!N168)</f>
        <v>0.25775072825634632</v>
      </c>
      <c r="L54" s="23">
        <f>K54*(1+'Forecast Parameters'!O168)</f>
        <v>0.25332917186849779</v>
      </c>
      <c r="M54" s="23">
        <f>L54*(1+'Forecast Parameters'!P168)</f>
        <v>0.24890761548064924</v>
      </c>
      <c r="N54" s="23">
        <f>M54*(1+'Forecast Parameters'!Q168)</f>
        <v>0.24448605909280074</v>
      </c>
      <c r="O54" s="23">
        <f>N54*(1+'Forecast Parameters'!R168)</f>
        <v>0.24292550977944244</v>
      </c>
      <c r="P54" s="23">
        <f>O54*(1+'Forecast Parameters'!S168)</f>
        <v>0.24136496046608413</v>
      </c>
      <c r="Q54" s="23">
        <f>P54*(1+'Forecast Parameters'!T168)</f>
        <v>0.23980441115272585</v>
      </c>
      <c r="R54" s="23">
        <f>Q54*(1+'Forecast Parameters'!U168)</f>
        <v>0.23824386183936755</v>
      </c>
      <c r="S54" s="23">
        <f>R54*(1+'Forecast Parameters'!V168)</f>
        <v>0.23668331252600924</v>
      </c>
      <c r="T54" s="23">
        <f>S54*(1+'Forecast Parameters'!W168)</f>
        <v>0.23512276321265091</v>
      </c>
      <c r="U54" s="23">
        <f>T54*(1+'Forecast Parameters'!X168)</f>
        <v>0.2335622138992926</v>
      </c>
      <c r="V54" s="23">
        <f>U54*(1+'Forecast Parameters'!Y168)</f>
        <v>0.23200166458593433</v>
      </c>
      <c r="W54" s="23">
        <f>V54*(1+'Forecast Parameters'!Z168)</f>
        <v>0.23044111527257602</v>
      </c>
      <c r="X54" s="23">
        <f>W54*(1+'Forecast Parameters'!AA168)</f>
        <v>0.22888056595921771</v>
      </c>
      <c r="Y54" s="23">
        <f>X54*(1+'Forecast Parameters'!AB168)</f>
        <v>0.22732001664585941</v>
      </c>
      <c r="Z54" s="23">
        <f>Y54*(1+'Forecast Parameters'!AC168)</f>
        <v>0.22575946733250113</v>
      </c>
      <c r="AA54" s="23">
        <f>Z54*(1+'Forecast Parameters'!AD168)</f>
        <v>0.22419891801914282</v>
      </c>
      <c r="AB54" s="23">
        <f>AA54*(1+'Forecast Parameters'!AE168)</f>
        <v>0.22263836870578455</v>
      </c>
      <c r="AC54" s="23">
        <f>AB54*(1+'Forecast Parameters'!AF168)</f>
        <v>0.22107781939242621</v>
      </c>
    </row>
    <row r="55" spans="1:29" s="32" customFormat="1" ht="20.399999999999999" x14ac:dyDescent="0.3">
      <c r="A55" s="135" t="s">
        <v>267</v>
      </c>
      <c r="B55" s="67">
        <f>1/3.03</f>
        <v>0.33003300330033003</v>
      </c>
      <c r="C55" s="23">
        <f>B55*(1+'Forecast Parameters'!F168)</f>
        <v>0.32725182630622612</v>
      </c>
      <c r="D55" s="23">
        <f>C55*(1+'Forecast Parameters'!G168)</f>
        <v>0.32447064931212222</v>
      </c>
      <c r="E55" s="23">
        <f>D55*(1+'Forecast Parameters'!H168)</f>
        <v>0.32292555098206449</v>
      </c>
      <c r="F55" s="23">
        <f>E55*(1+'Forecast Parameters'!I168)</f>
        <v>0.32138045265200677</v>
      </c>
      <c r="G55" s="23">
        <f>F55*(1+'Forecast Parameters'!J168)</f>
        <v>0.31983535432194904</v>
      </c>
      <c r="H55" s="23">
        <f>G55*(1+'Forecast Parameters'!K168)</f>
        <v>0.31829025599189131</v>
      </c>
      <c r="I55" s="23">
        <f>H55*(1+'Forecast Parameters'!L168)</f>
        <v>0.31674515766183359</v>
      </c>
      <c r="J55" s="23">
        <f>I55*(1+'Forecast Parameters'!M168)</f>
        <v>0.31149182333963737</v>
      </c>
      <c r="K55" s="23">
        <f>J55*(1+'Forecast Parameters'!N168)</f>
        <v>0.30623848901744111</v>
      </c>
      <c r="L55" s="23">
        <f>K55*(1+'Forecast Parameters'!O168)</f>
        <v>0.30098515469524484</v>
      </c>
      <c r="M55" s="23">
        <f>L55*(1+'Forecast Parameters'!P168)</f>
        <v>0.29573182037304852</v>
      </c>
      <c r="N55" s="23">
        <f>M55*(1+'Forecast Parameters'!Q168)</f>
        <v>0.2904784860508523</v>
      </c>
      <c r="O55" s="23">
        <f>N55*(1+'Forecast Parameters'!R168)</f>
        <v>0.28862436805478303</v>
      </c>
      <c r="P55" s="23">
        <f>O55*(1+'Forecast Parameters'!S168)</f>
        <v>0.28677025005871376</v>
      </c>
      <c r="Q55" s="23">
        <f>P55*(1+'Forecast Parameters'!T168)</f>
        <v>0.28491613206264449</v>
      </c>
      <c r="R55" s="23">
        <f>Q55*(1+'Forecast Parameters'!U168)</f>
        <v>0.28306201406657522</v>
      </c>
      <c r="S55" s="23">
        <f>R55*(1+'Forecast Parameters'!V168)</f>
        <v>0.28120789607050595</v>
      </c>
      <c r="T55" s="23">
        <f>S55*(1+'Forecast Parameters'!W168)</f>
        <v>0.27935377807443668</v>
      </c>
      <c r="U55" s="23">
        <f>T55*(1+'Forecast Parameters'!X168)</f>
        <v>0.27749966007836741</v>
      </c>
      <c r="V55" s="23">
        <f>U55*(1+'Forecast Parameters'!Y168)</f>
        <v>0.27564554208229819</v>
      </c>
      <c r="W55" s="23">
        <f>V55*(1+'Forecast Parameters'!Z168)</f>
        <v>0.27379142408622892</v>
      </c>
      <c r="X55" s="23">
        <f>W55*(1+'Forecast Parameters'!AA168)</f>
        <v>0.27193730609015965</v>
      </c>
      <c r="Y55" s="23">
        <f>X55*(1+'Forecast Parameters'!AB168)</f>
        <v>0.27008318809409038</v>
      </c>
      <c r="Z55" s="23">
        <f>Y55*(1+'Forecast Parameters'!AC168)</f>
        <v>0.26822907009802116</v>
      </c>
      <c r="AA55" s="23">
        <f>Z55*(1+'Forecast Parameters'!AD168)</f>
        <v>0.26637495210195189</v>
      </c>
      <c r="AB55" s="23">
        <f>AA55*(1+'Forecast Parameters'!AE168)</f>
        <v>0.26452083410588267</v>
      </c>
      <c r="AC55" s="23">
        <f>AB55*(1+'Forecast Parameters'!AF168)</f>
        <v>0.2626667161098134</v>
      </c>
    </row>
    <row r="56" spans="1:29" s="32" customFormat="1" ht="20.399999999999999" x14ac:dyDescent="0.3">
      <c r="A56" s="135" t="s">
        <v>81</v>
      </c>
      <c r="B56" s="67">
        <v>24.1</v>
      </c>
      <c r="C56" s="23">
        <f>B56*(1+'Forecast Parameters'!E155)</f>
        <v>24.594782137963641</v>
      </c>
      <c r="D56" s="23">
        <f>C56*(1+'Forecast Parameters'!F155)</f>
        <v>25.128662376430984</v>
      </c>
      <c r="E56" s="23">
        <f>D56*(1+'Forecast Parameters'!G155)</f>
        <v>25.703080681966192</v>
      </c>
      <c r="F56" s="23">
        <f>E56*(1+'Forecast Parameters'!H155)</f>
        <v>26.320008084011128</v>
      </c>
      <c r="G56" s="23">
        <f>F56*(1+'Forecast Parameters'!I155)</f>
        <v>26.986905935776544</v>
      </c>
      <c r="H56" s="23">
        <f>G56*(1+'Forecast Parameters'!J155)</f>
        <v>27.717201624644566</v>
      </c>
      <c r="I56" s="23">
        <f>H56*(1+'Forecast Parameters'!K155)</f>
        <v>28.501031179098252</v>
      </c>
      <c r="J56" s="23">
        <f>I56*(1+'Forecast Parameters'!L155)</f>
        <v>29.286254171948567</v>
      </c>
      <c r="K56" s="23">
        <f>J56*(1+'Forecast Parameters'!M155)</f>
        <v>30.099324273067278</v>
      </c>
      <c r="L56" s="23">
        <f>K56*(1+'Forecast Parameters'!N155)</f>
        <v>30.913457302151176</v>
      </c>
      <c r="M56" s="23">
        <f>L56*(1+'Forecast Parameters'!O155)</f>
        <v>31.728849800597601</v>
      </c>
      <c r="N56" s="23">
        <f>M56*(1+'Forecast Parameters'!P155)</f>
        <v>32.583428642624085</v>
      </c>
      <c r="O56" s="23">
        <f>N56*(1+'Forecast Parameters'!Q155)</f>
        <v>33.426476521200286</v>
      </c>
      <c r="P56" s="23">
        <f>O56*(1+'Forecast Parameters'!R155)</f>
        <v>34.234923487327755</v>
      </c>
      <c r="Q56" s="23">
        <f>P56*(1+'Forecast Parameters'!S155)</f>
        <v>34.97162081028047</v>
      </c>
      <c r="R56" s="23">
        <f>Q56*(1+'Forecast Parameters'!T155)</f>
        <v>35.680375562000371</v>
      </c>
      <c r="S56" s="23">
        <f>R56*(1+'Forecast Parameters'!U155)</f>
        <v>36.301109449475369</v>
      </c>
      <c r="T56" s="23">
        <f>S56*(1+'Forecast Parameters'!V155)</f>
        <v>36.865200106237857</v>
      </c>
      <c r="U56" s="23">
        <f>T56*(1+'Forecast Parameters'!W155)</f>
        <v>37.346904620285635</v>
      </c>
      <c r="V56" s="23">
        <f>U56*(1+'Forecast Parameters'!X155)</f>
        <v>37.72935733309783</v>
      </c>
      <c r="W56" s="23">
        <f>V56*(1+'Forecast Parameters'!Y155)</f>
        <v>38.052047823553245</v>
      </c>
      <c r="X56" s="23">
        <f>W56*(1+'Forecast Parameters'!Z155)</f>
        <v>38.320230565743955</v>
      </c>
      <c r="Y56" s="23">
        <f>X56*(1+'Forecast Parameters'!AA155)</f>
        <v>38.547133999025419</v>
      </c>
      <c r="Z56" s="23">
        <f>Y56*(1+'Forecast Parameters'!AB155)</f>
        <v>38.721868125565585</v>
      </c>
      <c r="AA56" s="23">
        <f>Z56*(1+'Forecast Parameters'!AC155)</f>
        <v>38.87252713424666</v>
      </c>
      <c r="AB56" s="23">
        <f>AA56*(1+'Forecast Parameters'!AD155)</f>
        <v>39.019844939173012</v>
      </c>
      <c r="AC56" s="23">
        <f>AB56*(1+'Forecast Parameters'!AE155)</f>
        <v>39.134237647891602</v>
      </c>
    </row>
    <row r="57" spans="1:29" s="32" customFormat="1" ht="20.399999999999999" x14ac:dyDescent="0.3">
      <c r="A57" s="135" t="s">
        <v>255</v>
      </c>
      <c r="B57" s="67">
        <v>44</v>
      </c>
      <c r="C57" s="23">
        <f>B57*(1+'Forecast Parameters'!E155)</f>
        <v>44.903336683419091</v>
      </c>
      <c r="D57" s="23">
        <f>C57*(1+'Forecast Parameters'!F155)</f>
        <v>45.878055790994324</v>
      </c>
      <c r="E57" s="23">
        <f>D57*(1+'Forecast Parameters'!G155)</f>
        <v>46.926786307324164</v>
      </c>
      <c r="F57" s="23">
        <f>E57*(1+'Forecast Parameters'!H155)</f>
        <v>48.053126792385463</v>
      </c>
      <c r="G57" s="23">
        <f>F57*(1+'Forecast Parameters'!I155)</f>
        <v>49.270699633782904</v>
      </c>
      <c r="H57" s="23">
        <f>G57*(1+'Forecast Parameters'!J155)</f>
        <v>50.604019563666434</v>
      </c>
      <c r="I57" s="23">
        <f>H57*(1+'Forecast Parameters'!K155)</f>
        <v>52.035077671382709</v>
      </c>
      <c r="J57" s="23">
        <f>I57*(1+'Forecast Parameters'!L155)</f>
        <v>53.46867981600569</v>
      </c>
      <c r="K57" s="23">
        <f>J57*(1+'Forecast Parameters'!M155)</f>
        <v>54.95312315414774</v>
      </c>
      <c r="L57" s="23">
        <f>K57*(1+'Forecast Parameters'!N155)</f>
        <v>56.43950710766191</v>
      </c>
      <c r="M57" s="23">
        <f>L57*(1+'Forecast Parameters'!O155)</f>
        <v>57.928190507315129</v>
      </c>
      <c r="N57" s="23">
        <f>M57*(1+'Forecast Parameters'!P155)</f>
        <v>59.488417438815766</v>
      </c>
      <c r="O57" s="23">
        <f>N57*(1+'Forecast Parameters'!Q155)</f>
        <v>61.027591988913386</v>
      </c>
      <c r="P57" s="23">
        <f>O57*(1+'Forecast Parameters'!R155)</f>
        <v>62.503594748648183</v>
      </c>
      <c r="Q57" s="23">
        <f>P57*(1+'Forecast Parameters'!S155)</f>
        <v>63.848602309225761</v>
      </c>
      <c r="R57" s="23">
        <f>Q57*(1+'Forecast Parameters'!T155)</f>
        <v>65.142594387054629</v>
      </c>
      <c r="S57" s="23">
        <f>R57*(1+'Forecast Parameters'!U155)</f>
        <v>66.275884472071226</v>
      </c>
      <c r="T57" s="23">
        <f>S57*(1+'Forecast Parameters'!V155)</f>
        <v>67.30575953006084</v>
      </c>
      <c r="U57" s="23">
        <f>T57*(1+'Forecast Parameters'!W155)</f>
        <v>68.185220053633543</v>
      </c>
      <c r="V57" s="23">
        <f>U57*(1+'Forecast Parameters'!X155)</f>
        <v>68.883473969141292</v>
      </c>
      <c r="W57" s="23">
        <f>V57*(1+'Forecast Parameters'!Y155)</f>
        <v>69.472618433043294</v>
      </c>
      <c r="X57" s="23">
        <f>W57*(1+'Forecast Parameters'!Z155)</f>
        <v>69.962246676047087</v>
      </c>
      <c r="Y57" s="23">
        <f>X57*(1+'Forecast Parameters'!AA155)</f>
        <v>70.376510205689598</v>
      </c>
      <c r="Z57" s="23">
        <f>Y57*(1+'Forecast Parameters'!AB155)</f>
        <v>70.695526868252557</v>
      </c>
      <c r="AA57" s="23">
        <f>Z57*(1+'Forecast Parameters'!AC155)</f>
        <v>70.970588958790614</v>
      </c>
      <c r="AB57" s="23">
        <f>AA57*(1+'Forecast Parameters'!AD155)</f>
        <v>71.239550926291017</v>
      </c>
      <c r="AC57" s="23">
        <f>AB57*(1+'Forecast Parameters'!AE155)</f>
        <v>71.448400684947373</v>
      </c>
    </row>
    <row r="58" spans="1:29" s="32" customFormat="1" ht="20.399999999999999" x14ac:dyDescent="0.3">
      <c r="A58" s="135" t="s">
        <v>261</v>
      </c>
      <c r="B58" s="67">
        <v>40.799999999999997</v>
      </c>
      <c r="C58" s="23">
        <f>B58*(1+'Forecast Parameters'!E155)</f>
        <v>41.63763947007952</v>
      </c>
      <c r="D58" s="23">
        <f>C58*(1+'Forecast Parameters'!F155)</f>
        <v>42.541469915285646</v>
      </c>
      <c r="E58" s="23">
        <f>D58*(1+'Forecast Parameters'!G155)</f>
        <v>43.513929121336957</v>
      </c>
      <c r="F58" s="23">
        <f>E58*(1+'Forecast Parameters'!H155)</f>
        <v>44.558353934757434</v>
      </c>
      <c r="G58" s="23">
        <f>F58*(1+'Forecast Parameters'!I155)</f>
        <v>45.687376024053243</v>
      </c>
      <c r="H58" s="23">
        <f>G58*(1+'Forecast Parameters'!J155)</f>
        <v>46.923727231763422</v>
      </c>
      <c r="I58" s="23">
        <f>H58*(1+'Forecast Parameters'!K155)</f>
        <v>48.250708386191242</v>
      </c>
      <c r="J58" s="23">
        <f>I58*(1+'Forecast Parameters'!L155)</f>
        <v>49.580048556659825</v>
      </c>
      <c r="K58" s="23">
        <f>J58*(1+'Forecast Parameters'!M155)</f>
        <v>50.956532379300633</v>
      </c>
      <c r="L58" s="23">
        <f>K58*(1+'Forecast Parameters'!N155)</f>
        <v>52.334815681650134</v>
      </c>
      <c r="M58" s="23">
        <f>L58*(1+'Forecast Parameters'!O155)</f>
        <v>53.715231197692212</v>
      </c>
      <c r="N58" s="23">
        <f>M58*(1+'Forecast Parameters'!P155)</f>
        <v>55.161987079629171</v>
      </c>
      <c r="O58" s="23">
        <f>N58*(1+'Forecast Parameters'!Q155)</f>
        <v>56.589221662446967</v>
      </c>
      <c r="P58" s="23">
        <f>O58*(1+'Forecast Parameters'!R155)</f>
        <v>57.957878766928324</v>
      </c>
      <c r="Q58" s="23">
        <f>P58*(1+'Forecast Parameters'!S155)</f>
        <v>59.205067595827529</v>
      </c>
      <c r="R58" s="23">
        <f>Q58*(1+'Forecast Parameters'!T155)</f>
        <v>60.404951158905206</v>
      </c>
      <c r="S58" s="23">
        <f>R58*(1+'Forecast Parameters'!U155)</f>
        <v>61.455820146829687</v>
      </c>
      <c r="T58" s="23">
        <f>S58*(1+'Forecast Parameters'!V155)</f>
        <v>62.410795200601868</v>
      </c>
      <c r="U58" s="23">
        <f>T58*(1+'Forecast Parameters'!W155)</f>
        <v>63.226294958823829</v>
      </c>
      <c r="V58" s="23">
        <f>U58*(1+'Forecast Parameters'!X155)</f>
        <v>63.873766771385554</v>
      </c>
      <c r="W58" s="23">
        <f>V58*(1+'Forecast Parameters'!Y155)</f>
        <v>64.420064365185596</v>
      </c>
      <c r="X58" s="23">
        <f>W58*(1+'Forecast Parameters'!Z155)</f>
        <v>64.87408328142547</v>
      </c>
      <c r="Y58" s="23">
        <f>X58*(1+'Forecast Parameters'!AA155)</f>
        <v>65.258218554366707</v>
      </c>
      <c r="Z58" s="23">
        <f>Y58*(1+'Forecast Parameters'!AB155)</f>
        <v>65.554034005106914</v>
      </c>
      <c r="AA58" s="23">
        <f>Z58*(1+'Forecast Parameters'!AC155)</f>
        <v>65.809091579969476</v>
      </c>
      <c r="AB58" s="23">
        <f>AA58*(1+'Forecast Parameters'!AD155)</f>
        <v>66.058492677106202</v>
      </c>
      <c r="AC58" s="23">
        <f>AB58*(1+'Forecast Parameters'!AE155)</f>
        <v>66.252153362405735</v>
      </c>
    </row>
    <row r="59" spans="1:29" s="32" customFormat="1" ht="20.399999999999999" x14ac:dyDescent="0.3">
      <c r="A59" s="135" t="s">
        <v>88</v>
      </c>
      <c r="B59" s="67">
        <f>B56</f>
        <v>24.1</v>
      </c>
      <c r="C59" s="23">
        <f>C56</f>
        <v>24.594782137963641</v>
      </c>
      <c r="D59" s="23">
        <f t="shared" ref="D59:AC59" si="19">D56</f>
        <v>25.128662376430984</v>
      </c>
      <c r="E59" s="23">
        <f t="shared" si="19"/>
        <v>25.703080681966192</v>
      </c>
      <c r="F59" s="23">
        <f t="shared" si="19"/>
        <v>26.320008084011128</v>
      </c>
      <c r="G59" s="23">
        <f t="shared" si="19"/>
        <v>26.986905935776544</v>
      </c>
      <c r="H59" s="23">
        <f t="shared" si="19"/>
        <v>27.717201624644566</v>
      </c>
      <c r="I59" s="23">
        <f t="shared" si="19"/>
        <v>28.501031179098252</v>
      </c>
      <c r="J59" s="23">
        <f t="shared" si="19"/>
        <v>29.286254171948567</v>
      </c>
      <c r="K59" s="23">
        <f t="shared" si="19"/>
        <v>30.099324273067278</v>
      </c>
      <c r="L59" s="23">
        <f t="shared" si="19"/>
        <v>30.913457302151176</v>
      </c>
      <c r="M59" s="23">
        <f t="shared" si="19"/>
        <v>31.728849800597601</v>
      </c>
      <c r="N59" s="23">
        <f t="shared" si="19"/>
        <v>32.583428642624085</v>
      </c>
      <c r="O59" s="23">
        <f t="shared" si="19"/>
        <v>33.426476521200286</v>
      </c>
      <c r="P59" s="23">
        <f t="shared" si="19"/>
        <v>34.234923487327755</v>
      </c>
      <c r="Q59" s="23">
        <f t="shared" si="19"/>
        <v>34.97162081028047</v>
      </c>
      <c r="R59" s="23">
        <f t="shared" si="19"/>
        <v>35.680375562000371</v>
      </c>
      <c r="S59" s="23">
        <f t="shared" si="19"/>
        <v>36.301109449475369</v>
      </c>
      <c r="T59" s="23">
        <f t="shared" si="19"/>
        <v>36.865200106237857</v>
      </c>
      <c r="U59" s="23">
        <f t="shared" si="19"/>
        <v>37.346904620285635</v>
      </c>
      <c r="V59" s="23">
        <f t="shared" si="19"/>
        <v>37.72935733309783</v>
      </c>
      <c r="W59" s="23">
        <f t="shared" si="19"/>
        <v>38.052047823553245</v>
      </c>
      <c r="X59" s="23">
        <f t="shared" si="19"/>
        <v>38.320230565743955</v>
      </c>
      <c r="Y59" s="23">
        <f t="shared" si="19"/>
        <v>38.547133999025419</v>
      </c>
      <c r="Z59" s="23">
        <f t="shared" si="19"/>
        <v>38.721868125565585</v>
      </c>
      <c r="AA59" s="23">
        <f t="shared" si="19"/>
        <v>38.87252713424666</v>
      </c>
      <c r="AB59" s="23">
        <f t="shared" si="19"/>
        <v>39.019844939173012</v>
      </c>
      <c r="AC59" s="23">
        <f t="shared" si="19"/>
        <v>39.134237647891602</v>
      </c>
    </row>
    <row r="60" spans="1:29" s="32" customFormat="1" ht="20.399999999999999" x14ac:dyDescent="0.3">
      <c r="A60" s="135" t="s">
        <v>256</v>
      </c>
      <c r="B60" s="67">
        <f t="shared" ref="B60:B61" si="20">B57</f>
        <v>44</v>
      </c>
      <c r="C60" s="23">
        <f>C57</f>
        <v>44.903336683419091</v>
      </c>
      <c r="D60" s="23">
        <f t="shared" ref="D60:AC60" si="21">D57</f>
        <v>45.878055790994324</v>
      </c>
      <c r="E60" s="23">
        <f t="shared" si="21"/>
        <v>46.926786307324164</v>
      </c>
      <c r="F60" s="23">
        <f t="shared" si="21"/>
        <v>48.053126792385463</v>
      </c>
      <c r="G60" s="23">
        <f t="shared" si="21"/>
        <v>49.270699633782904</v>
      </c>
      <c r="H60" s="23">
        <f t="shared" si="21"/>
        <v>50.604019563666434</v>
      </c>
      <c r="I60" s="23">
        <f t="shared" si="21"/>
        <v>52.035077671382709</v>
      </c>
      <c r="J60" s="23">
        <f t="shared" si="21"/>
        <v>53.46867981600569</v>
      </c>
      <c r="K60" s="23">
        <f t="shared" si="21"/>
        <v>54.95312315414774</v>
      </c>
      <c r="L60" s="23">
        <f t="shared" si="21"/>
        <v>56.43950710766191</v>
      </c>
      <c r="M60" s="23">
        <f t="shared" si="21"/>
        <v>57.928190507315129</v>
      </c>
      <c r="N60" s="23">
        <f t="shared" si="21"/>
        <v>59.488417438815766</v>
      </c>
      <c r="O60" s="23">
        <f t="shared" si="21"/>
        <v>61.027591988913386</v>
      </c>
      <c r="P60" s="23">
        <f t="shared" si="21"/>
        <v>62.503594748648183</v>
      </c>
      <c r="Q60" s="23">
        <f t="shared" si="21"/>
        <v>63.848602309225761</v>
      </c>
      <c r="R60" s="23">
        <f t="shared" si="21"/>
        <v>65.142594387054629</v>
      </c>
      <c r="S60" s="23">
        <f t="shared" si="21"/>
        <v>66.275884472071226</v>
      </c>
      <c r="T60" s="23">
        <f t="shared" si="21"/>
        <v>67.30575953006084</v>
      </c>
      <c r="U60" s="23">
        <f t="shared" si="21"/>
        <v>68.185220053633543</v>
      </c>
      <c r="V60" s="23">
        <f t="shared" si="21"/>
        <v>68.883473969141292</v>
      </c>
      <c r="W60" s="23">
        <f t="shared" si="21"/>
        <v>69.472618433043294</v>
      </c>
      <c r="X60" s="23">
        <f t="shared" si="21"/>
        <v>69.962246676047087</v>
      </c>
      <c r="Y60" s="23">
        <f t="shared" si="21"/>
        <v>70.376510205689598</v>
      </c>
      <c r="Z60" s="23">
        <f t="shared" si="21"/>
        <v>70.695526868252557</v>
      </c>
      <c r="AA60" s="23">
        <f t="shared" si="21"/>
        <v>70.970588958790614</v>
      </c>
      <c r="AB60" s="23">
        <f t="shared" si="21"/>
        <v>71.239550926291017</v>
      </c>
      <c r="AC60" s="23">
        <f t="shared" si="21"/>
        <v>71.448400684947373</v>
      </c>
    </row>
    <row r="61" spans="1:29" s="32" customFormat="1" ht="20.399999999999999" x14ac:dyDescent="0.3">
      <c r="A61" s="135" t="s">
        <v>262</v>
      </c>
      <c r="B61" s="67">
        <f t="shared" si="20"/>
        <v>40.799999999999997</v>
      </c>
      <c r="C61" s="23">
        <f>C58</f>
        <v>41.63763947007952</v>
      </c>
      <c r="D61" s="23">
        <f t="shared" ref="D61:AC61" si="22">D58</f>
        <v>42.541469915285646</v>
      </c>
      <c r="E61" s="23">
        <f t="shared" si="22"/>
        <v>43.513929121336957</v>
      </c>
      <c r="F61" s="23">
        <f t="shared" si="22"/>
        <v>44.558353934757434</v>
      </c>
      <c r="G61" s="23">
        <f t="shared" si="22"/>
        <v>45.687376024053243</v>
      </c>
      <c r="H61" s="23">
        <f t="shared" si="22"/>
        <v>46.923727231763422</v>
      </c>
      <c r="I61" s="23">
        <f t="shared" si="22"/>
        <v>48.250708386191242</v>
      </c>
      <c r="J61" s="23">
        <f t="shared" si="22"/>
        <v>49.580048556659825</v>
      </c>
      <c r="K61" s="23">
        <f t="shared" si="22"/>
        <v>50.956532379300633</v>
      </c>
      <c r="L61" s="23">
        <f t="shared" si="22"/>
        <v>52.334815681650134</v>
      </c>
      <c r="M61" s="23">
        <f t="shared" si="22"/>
        <v>53.715231197692212</v>
      </c>
      <c r="N61" s="23">
        <f t="shared" si="22"/>
        <v>55.161987079629171</v>
      </c>
      <c r="O61" s="23">
        <f t="shared" si="22"/>
        <v>56.589221662446967</v>
      </c>
      <c r="P61" s="23">
        <f t="shared" si="22"/>
        <v>57.957878766928324</v>
      </c>
      <c r="Q61" s="23">
        <f t="shared" si="22"/>
        <v>59.205067595827529</v>
      </c>
      <c r="R61" s="23">
        <f t="shared" si="22"/>
        <v>60.404951158905206</v>
      </c>
      <c r="S61" s="23">
        <f t="shared" si="22"/>
        <v>61.455820146829687</v>
      </c>
      <c r="T61" s="23">
        <f t="shared" si="22"/>
        <v>62.410795200601868</v>
      </c>
      <c r="U61" s="23">
        <f t="shared" si="22"/>
        <v>63.226294958823829</v>
      </c>
      <c r="V61" s="23">
        <f t="shared" si="22"/>
        <v>63.873766771385554</v>
      </c>
      <c r="W61" s="23">
        <f t="shared" si="22"/>
        <v>64.420064365185596</v>
      </c>
      <c r="X61" s="23">
        <f t="shared" si="22"/>
        <v>64.87408328142547</v>
      </c>
      <c r="Y61" s="23">
        <f t="shared" si="22"/>
        <v>65.258218554366707</v>
      </c>
      <c r="Z61" s="23">
        <f t="shared" si="22"/>
        <v>65.554034005106914</v>
      </c>
      <c r="AA61" s="23">
        <f t="shared" si="22"/>
        <v>65.809091579969476</v>
      </c>
      <c r="AB61" s="23">
        <f t="shared" si="22"/>
        <v>66.058492677106202</v>
      </c>
      <c r="AC61" s="23">
        <f t="shared" si="22"/>
        <v>66.252153362405735</v>
      </c>
    </row>
    <row r="62" spans="1:29" s="32" customFormat="1" ht="20.399999999999999" x14ac:dyDescent="0.3">
      <c r="A62" s="135" t="s">
        <v>85</v>
      </c>
      <c r="B62" s="67">
        <v>32.4</v>
      </c>
      <c r="C62" s="23">
        <f>B62*(1+'Forecast Parameters'!E155)</f>
        <v>33.065184285063147</v>
      </c>
      <c r="D62" s="23">
        <f>C62*(1+'Forecast Parameters'!F155)</f>
        <v>33.782931991550363</v>
      </c>
      <c r="E62" s="23">
        <f>D62*(1+'Forecast Parameters'!G155)</f>
        <v>34.555179008120518</v>
      </c>
      <c r="F62" s="23">
        <f>E62*(1+'Forecast Parameters'!H155)</f>
        <v>35.38457518348384</v>
      </c>
      <c r="G62" s="23">
        <f>F62*(1+'Forecast Parameters'!I155)</f>
        <v>36.28115154851286</v>
      </c>
      <c r="H62" s="23">
        <f>G62*(1+'Forecast Parameters'!J155)</f>
        <v>37.262959860518002</v>
      </c>
      <c r="I62" s="23">
        <f>H62*(1+'Forecast Parameters'!K155)</f>
        <v>38.316739012563623</v>
      </c>
      <c r="J62" s="23">
        <f>I62*(1+'Forecast Parameters'!L155)</f>
        <v>39.372391500876908</v>
      </c>
      <c r="K62" s="23">
        <f>J62*(1+'Forecast Parameters'!M155)</f>
        <v>40.465481595326963</v>
      </c>
      <c r="L62" s="23">
        <f>K62*(1+'Forecast Parameters'!N155)</f>
        <v>41.560000688369215</v>
      </c>
      <c r="M62" s="23">
        <f>L62*(1+'Forecast Parameters'!O155)</f>
        <v>42.656213009932038</v>
      </c>
      <c r="N62" s="23">
        <f>M62*(1+'Forecast Parameters'!P155)</f>
        <v>43.805107386764327</v>
      </c>
      <c r="O62" s="23">
        <f>N62*(1+'Forecast Parameters'!Q155)</f>
        <v>44.938499555472575</v>
      </c>
      <c r="P62" s="23">
        <f>O62*(1+'Forecast Parameters'!R155)</f>
        <v>46.025374314913648</v>
      </c>
      <c r="Q62" s="23">
        <f>P62*(1+'Forecast Parameters'!S155)</f>
        <v>47.015788973157136</v>
      </c>
      <c r="R62" s="23">
        <f>Q62*(1+'Forecast Parameters'!T155)</f>
        <v>47.968637685012936</v>
      </c>
      <c r="S62" s="23">
        <f>R62*(1+'Forecast Parameters'!U155)</f>
        <v>48.803151293070613</v>
      </c>
      <c r="T62" s="23">
        <f>S62*(1+'Forecast Parameters'!V155)</f>
        <v>49.561513835772054</v>
      </c>
      <c r="U62" s="23">
        <f>T62*(1+'Forecast Parameters'!W155)</f>
        <v>50.209116584948319</v>
      </c>
      <c r="V62" s="23">
        <f>U62*(1+'Forecast Parameters'!X155)</f>
        <v>50.723285377276753</v>
      </c>
      <c r="W62" s="23">
        <f>V62*(1+'Forecast Parameters'!Y155)</f>
        <v>51.15710993705914</v>
      </c>
      <c r="X62" s="23">
        <f>W62*(1+'Forecast Parameters'!Z155)</f>
        <v>51.517654370543745</v>
      </c>
      <c r="Y62" s="23">
        <f>X62*(1+'Forecast Parameters'!AA155)</f>
        <v>51.822702969644141</v>
      </c>
      <c r="Z62" s="23">
        <f>Y62*(1+'Forecast Parameters'!AB155)</f>
        <v>52.057615239349595</v>
      </c>
      <c r="AA62" s="23">
        <f>Z62*(1+'Forecast Parameters'!AC155)</f>
        <v>52.260160960563987</v>
      </c>
      <c r="AB62" s="23">
        <f>AA62*(1+'Forecast Parameters'!AD155)</f>
        <v>52.458214772996101</v>
      </c>
      <c r="AC62" s="23">
        <f>AB62*(1+'Forecast Parameters'!AE155)</f>
        <v>52.612004140733958</v>
      </c>
    </row>
    <row r="63" spans="1:29" s="134" customFormat="1" x14ac:dyDescent="0.85">
      <c r="A63" s="89" t="s">
        <v>50</v>
      </c>
      <c r="B63" s="248"/>
      <c r="C63" s="249"/>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50"/>
    </row>
    <row r="64" spans="1:29" s="32" customFormat="1" ht="20.399999999999999" x14ac:dyDescent="0.3">
      <c r="A64" s="135" t="s">
        <v>216</v>
      </c>
      <c r="B64" s="67">
        <v>0.48499999999999999</v>
      </c>
      <c r="C64" s="23">
        <f>B64*(1+'Forecast Parameters'!F170)</f>
        <v>0.48054535017221589</v>
      </c>
      <c r="D64" s="23">
        <f>C64*(1+'Forecast Parameters'!G170)</f>
        <v>0.47609070034443174</v>
      </c>
      <c r="E64" s="23">
        <f>D64*(1+'Forecast Parameters'!H170)</f>
        <v>0.47414179104477616</v>
      </c>
      <c r="F64" s="23">
        <f>E64*(1+'Forecast Parameters'!I170)</f>
        <v>0.47219288174512053</v>
      </c>
      <c r="G64" s="23">
        <f>F64*(1+'Forecast Parameters'!J170)</f>
        <v>0.47024397244546501</v>
      </c>
      <c r="H64" s="23">
        <f>G64*(1+'Forecast Parameters'!K170)</f>
        <v>0.46829506314580943</v>
      </c>
      <c r="I64" s="23">
        <f>H64*(1+'Forecast Parameters'!L170)</f>
        <v>0.46634615384615385</v>
      </c>
      <c r="J64" s="23">
        <f>I64*(1+'Forecast Parameters'!M170)</f>
        <v>0.4579936854190586</v>
      </c>
      <c r="K64" s="23">
        <f>J64*(1+'Forecast Parameters'!N170)</f>
        <v>0.4496412169919633</v>
      </c>
      <c r="L64" s="23">
        <f>K64*(1+'Forecast Parameters'!O170)</f>
        <v>0.44128874856486799</v>
      </c>
      <c r="M64" s="23">
        <f>L64*(1+'Forecast Parameters'!P170)</f>
        <v>0.43293628013777269</v>
      </c>
      <c r="N64" s="23">
        <f>M64*(1+'Forecast Parameters'!Q170)</f>
        <v>0.42458381171067738</v>
      </c>
      <c r="O64" s="23">
        <f>N64*(1+'Forecast Parameters'!R170)</f>
        <v>0.42179965556831228</v>
      </c>
      <c r="P64" s="23">
        <f>O64*(1+'Forecast Parameters'!S170)</f>
        <v>0.41901549942594718</v>
      </c>
      <c r="Q64" s="23">
        <f>P64*(1+'Forecast Parameters'!T170)</f>
        <v>0.41623134328358208</v>
      </c>
      <c r="R64" s="23">
        <f>Q64*(1+'Forecast Parameters'!U170)</f>
        <v>0.41344718714121698</v>
      </c>
      <c r="S64" s="23">
        <f>R64*(1+'Forecast Parameters'!V170)</f>
        <v>0.41066303099885187</v>
      </c>
      <c r="T64" s="23">
        <f>S64*(1+'Forecast Parameters'!W170)</f>
        <v>0.40787887485648677</v>
      </c>
      <c r="U64" s="23">
        <f>T64*(1+'Forecast Parameters'!X170)</f>
        <v>0.40509471871412167</v>
      </c>
      <c r="V64" s="23">
        <f>U64*(1+'Forecast Parameters'!Y170)</f>
        <v>0.40231056257175657</v>
      </c>
      <c r="W64" s="23">
        <f>V64*(1+'Forecast Parameters'!Z170)</f>
        <v>0.39952640642939147</v>
      </c>
      <c r="X64" s="23">
        <f>W64*(1+'Forecast Parameters'!AA170)</f>
        <v>0.39674225028702637</v>
      </c>
      <c r="Y64" s="23">
        <f>X64*(1+'Forecast Parameters'!AB170)</f>
        <v>0.39367967853042479</v>
      </c>
      <c r="Z64" s="23">
        <f>Y64*(1+'Forecast Parameters'!AC170)</f>
        <v>0.39061710677382322</v>
      </c>
      <c r="AA64" s="23">
        <f>Z64*(1+'Forecast Parameters'!AD170)</f>
        <v>0.38755453501722159</v>
      </c>
      <c r="AB64" s="23">
        <f>AA64*(1+'Forecast Parameters'!AE170)</f>
        <v>0.38449196326062002</v>
      </c>
      <c r="AC64" s="23">
        <f>AB64*(1+'Forecast Parameters'!AF170)</f>
        <v>0.38142939150401844</v>
      </c>
    </row>
    <row r="65" spans="1:29" s="32" customFormat="1" ht="20.399999999999999" x14ac:dyDescent="0.3">
      <c r="A65" s="135" t="s">
        <v>82</v>
      </c>
      <c r="B65" s="67">
        <v>18.5</v>
      </c>
      <c r="C65" s="23">
        <f>B65*(1+'Forecast Parameters'!E157)</f>
        <v>18.923434477644509</v>
      </c>
      <c r="D65" s="23">
        <f>C65*(1+'Forecast Parameters'!F157)</f>
        <v>19.397331011609541</v>
      </c>
      <c r="E65" s="23">
        <f>D65*(1+'Forecast Parameters'!G157)</f>
        <v>19.89026339221321</v>
      </c>
      <c r="F65" s="23">
        <f>E65*(1+'Forecast Parameters'!H157)</f>
        <v>20.393431699157855</v>
      </c>
      <c r="G65" s="23">
        <f>F65*(1+'Forecast Parameters'!I157)</f>
        <v>20.928541091089979</v>
      </c>
      <c r="H65" s="23">
        <f>G65*(1+'Forecast Parameters'!J157)</f>
        <v>21.460355110011427</v>
      </c>
      <c r="I65" s="23">
        <f>H65*(1+'Forecast Parameters'!K157)</f>
        <v>21.983993559088841</v>
      </c>
      <c r="J65" s="23">
        <f>I65*(1+'Forecast Parameters'!L157)</f>
        <v>22.482694766829027</v>
      </c>
      <c r="K65" s="23">
        <f>J65*(1+'Forecast Parameters'!M157)</f>
        <v>22.966181494816574</v>
      </c>
      <c r="L65" s="23">
        <f>K65*(1+'Forecast Parameters'!N157)</f>
        <v>23.411541791952835</v>
      </c>
      <c r="M65" s="23">
        <f>L65*(1+'Forecast Parameters'!O157)</f>
        <v>23.846485699808785</v>
      </c>
      <c r="N65" s="23">
        <f>M65*(1+'Forecast Parameters'!P157)</f>
        <v>24.269903071961416</v>
      </c>
      <c r="O65" s="23">
        <f>N65*(1+'Forecast Parameters'!Q157)</f>
        <v>24.683346231798829</v>
      </c>
      <c r="P65" s="23">
        <f>O65*(1+'Forecast Parameters'!R157)</f>
        <v>25.076758860644787</v>
      </c>
      <c r="Q65" s="23">
        <f>P65*(1+'Forecast Parameters'!S157)</f>
        <v>25.457941062796564</v>
      </c>
      <c r="R65" s="23">
        <f>Q65*(1+'Forecast Parameters'!T157)</f>
        <v>25.828337397043423</v>
      </c>
      <c r="S65" s="23">
        <f>R65*(1+'Forecast Parameters'!U157)</f>
        <v>26.178180627521897</v>
      </c>
      <c r="T65" s="23">
        <f>S65*(1+'Forecast Parameters'!V157)</f>
        <v>26.51140330681519</v>
      </c>
      <c r="U65" s="23">
        <f>T65*(1+'Forecast Parameters'!W157)</f>
        <v>26.823310832676846</v>
      </c>
      <c r="V65" s="23">
        <f>U65*(1+'Forecast Parameters'!X157)</f>
        <v>27.104885189787733</v>
      </c>
      <c r="W65" s="23">
        <f>V65*(1+'Forecast Parameters'!Y157)</f>
        <v>27.345534657575783</v>
      </c>
      <c r="X65" s="23">
        <f>W65*(1+'Forecast Parameters'!Z157)</f>
        <v>27.556537742112052</v>
      </c>
      <c r="Y65" s="23">
        <f>X65*(1+'Forecast Parameters'!AA157)</f>
        <v>27.740130986459846</v>
      </c>
      <c r="Z65" s="23">
        <f>Y65*(1+'Forecast Parameters'!AB157)</f>
        <v>27.898006123766088</v>
      </c>
      <c r="AA65" s="23">
        <f>Z65*(1+'Forecast Parameters'!AC157)</f>
        <v>28.032278248101751</v>
      </c>
      <c r="AB65" s="23">
        <f>AA65*(1+'Forecast Parameters'!AD157)</f>
        <v>28.148368945118182</v>
      </c>
      <c r="AC65" s="23">
        <f>AB65*(1+'Forecast Parameters'!AE157)</f>
        <v>28.243787655197661</v>
      </c>
    </row>
    <row r="66" spans="1:29" s="32" customFormat="1" ht="20.399999999999999" x14ac:dyDescent="0.3">
      <c r="A66" s="135" t="s">
        <v>257</v>
      </c>
      <c r="B66" s="67">
        <v>44</v>
      </c>
      <c r="C66" s="23">
        <f>B66*(1+'Forecast Parameters'!E157)</f>
        <v>45.007087406289642</v>
      </c>
      <c r="D66" s="23">
        <f>C66*(1+'Forecast Parameters'!F157)</f>
        <v>46.134192676260533</v>
      </c>
      <c r="E66" s="23">
        <f>D66*(1+'Forecast Parameters'!G157)</f>
        <v>47.306572392290882</v>
      </c>
      <c r="F66" s="23">
        <f>E66*(1+'Forecast Parameters'!H157)</f>
        <v>48.503297014213274</v>
      </c>
      <c r="G66" s="23">
        <f>F66*(1+'Forecast Parameters'!I157)</f>
        <v>49.775989622051846</v>
      </c>
      <c r="H66" s="23">
        <f>G66*(1+'Forecast Parameters'!J157)</f>
        <v>51.040844585973126</v>
      </c>
      <c r="I66" s="23">
        <f>H66*(1+'Forecast Parameters'!K157)</f>
        <v>52.286254951346436</v>
      </c>
      <c r="J66" s="23">
        <f>I66*(1+'Forecast Parameters'!L157)</f>
        <v>53.472355121106872</v>
      </c>
      <c r="K66" s="23">
        <f>J66*(1+'Forecast Parameters'!M157)</f>
        <v>54.622269501185357</v>
      </c>
      <c r="L66" s="23">
        <f>K66*(1+'Forecast Parameters'!N157)</f>
        <v>55.681504802482415</v>
      </c>
      <c r="M66" s="23">
        <f>L66*(1+'Forecast Parameters'!O157)</f>
        <v>56.715965988734403</v>
      </c>
      <c r="N66" s="23">
        <f>M66*(1+'Forecast Parameters'!P157)</f>
        <v>57.723012711692007</v>
      </c>
      <c r="O66" s="23">
        <f>N66*(1+'Forecast Parameters'!Q157)</f>
        <v>58.706336983737749</v>
      </c>
      <c r="P66" s="23">
        <f>O66*(1+'Forecast Parameters'!R157)</f>
        <v>59.642021073965978</v>
      </c>
      <c r="Q66" s="23">
        <f>P66*(1+'Forecast Parameters'!S157)</f>
        <v>60.548616581786426</v>
      </c>
      <c r="R66" s="23">
        <f>Q66*(1+'Forecast Parameters'!T157)</f>
        <v>61.429559214589766</v>
      </c>
      <c r="S66" s="23">
        <f>R66*(1+'Forecast Parameters'!U157)</f>
        <v>62.261618789781814</v>
      </c>
      <c r="T66" s="23">
        <f>S66*(1+'Forecast Parameters'!V157)</f>
        <v>63.054148405398294</v>
      </c>
      <c r="U66" s="23">
        <f>T66*(1+'Forecast Parameters'!W157)</f>
        <v>63.795982520961147</v>
      </c>
      <c r="V66" s="23">
        <f>U66*(1+'Forecast Parameters'!X157)</f>
        <v>64.465672883819479</v>
      </c>
      <c r="W66" s="23">
        <f>V66*(1+'Forecast Parameters'!Y157)</f>
        <v>65.038028374774839</v>
      </c>
      <c r="X66" s="23">
        <f>W66*(1+'Forecast Parameters'!Z157)</f>
        <v>65.539873548807051</v>
      </c>
      <c r="Y66" s="23">
        <f>X66*(1+'Forecast Parameters'!AA157)</f>
        <v>65.976527751580178</v>
      </c>
      <c r="Z66" s="23">
        <f>Y66*(1+'Forecast Parameters'!AB157)</f>
        <v>66.352014564632867</v>
      </c>
      <c r="AA66" s="23">
        <f>Z66*(1+'Forecast Parameters'!AC157)</f>
        <v>66.671364481971736</v>
      </c>
      <c r="AB66" s="23">
        <f>AA66*(1+'Forecast Parameters'!AD157)</f>
        <v>66.947472085686499</v>
      </c>
      <c r="AC66" s="23">
        <f>AB66*(1+'Forecast Parameters'!AE157)</f>
        <v>67.17441388263228</v>
      </c>
    </row>
    <row r="67" spans="1:29" s="32" customFormat="1" ht="20.399999999999999" x14ac:dyDescent="0.3">
      <c r="A67" s="135" t="s">
        <v>89</v>
      </c>
      <c r="B67" s="67">
        <f>B65</f>
        <v>18.5</v>
      </c>
      <c r="C67" s="23">
        <f>C65</f>
        <v>18.923434477644509</v>
      </c>
      <c r="D67" s="23">
        <f t="shared" ref="D67:AC67" si="23">D65</f>
        <v>19.397331011609541</v>
      </c>
      <c r="E67" s="23">
        <f t="shared" si="23"/>
        <v>19.89026339221321</v>
      </c>
      <c r="F67" s="23">
        <f t="shared" si="23"/>
        <v>20.393431699157855</v>
      </c>
      <c r="G67" s="23">
        <f t="shared" si="23"/>
        <v>20.928541091089979</v>
      </c>
      <c r="H67" s="23">
        <f t="shared" si="23"/>
        <v>21.460355110011427</v>
      </c>
      <c r="I67" s="23">
        <f t="shared" si="23"/>
        <v>21.983993559088841</v>
      </c>
      <c r="J67" s="23">
        <f t="shared" si="23"/>
        <v>22.482694766829027</v>
      </c>
      <c r="K67" s="23">
        <f t="shared" si="23"/>
        <v>22.966181494816574</v>
      </c>
      <c r="L67" s="23">
        <f t="shared" si="23"/>
        <v>23.411541791952835</v>
      </c>
      <c r="M67" s="23">
        <f t="shared" si="23"/>
        <v>23.846485699808785</v>
      </c>
      <c r="N67" s="23">
        <f t="shared" si="23"/>
        <v>24.269903071961416</v>
      </c>
      <c r="O67" s="23">
        <f t="shared" si="23"/>
        <v>24.683346231798829</v>
      </c>
      <c r="P67" s="23">
        <f t="shared" si="23"/>
        <v>25.076758860644787</v>
      </c>
      <c r="Q67" s="23">
        <f t="shared" si="23"/>
        <v>25.457941062796564</v>
      </c>
      <c r="R67" s="23">
        <f t="shared" si="23"/>
        <v>25.828337397043423</v>
      </c>
      <c r="S67" s="23">
        <f t="shared" si="23"/>
        <v>26.178180627521897</v>
      </c>
      <c r="T67" s="23">
        <f t="shared" si="23"/>
        <v>26.51140330681519</v>
      </c>
      <c r="U67" s="23">
        <f t="shared" si="23"/>
        <v>26.823310832676846</v>
      </c>
      <c r="V67" s="23">
        <f t="shared" si="23"/>
        <v>27.104885189787733</v>
      </c>
      <c r="W67" s="23">
        <f t="shared" si="23"/>
        <v>27.345534657575783</v>
      </c>
      <c r="X67" s="23">
        <f t="shared" si="23"/>
        <v>27.556537742112052</v>
      </c>
      <c r="Y67" s="23">
        <f t="shared" si="23"/>
        <v>27.740130986459846</v>
      </c>
      <c r="Z67" s="23">
        <f t="shared" si="23"/>
        <v>27.898006123766088</v>
      </c>
      <c r="AA67" s="23">
        <f t="shared" si="23"/>
        <v>28.032278248101751</v>
      </c>
      <c r="AB67" s="23">
        <f t="shared" si="23"/>
        <v>28.148368945118182</v>
      </c>
      <c r="AC67" s="23">
        <f t="shared" si="23"/>
        <v>28.243787655197661</v>
      </c>
    </row>
    <row r="68" spans="1:29" s="32" customFormat="1" ht="20.399999999999999" x14ac:dyDescent="0.3">
      <c r="A68" s="135" t="s">
        <v>258</v>
      </c>
      <c r="B68" s="67">
        <f>B66</f>
        <v>44</v>
      </c>
      <c r="C68" s="23">
        <f>C66</f>
        <v>45.007087406289642</v>
      </c>
      <c r="D68" s="23">
        <f t="shared" ref="D68:AC68" si="24">D66</f>
        <v>46.134192676260533</v>
      </c>
      <c r="E68" s="23">
        <f t="shared" si="24"/>
        <v>47.306572392290882</v>
      </c>
      <c r="F68" s="23">
        <f t="shared" si="24"/>
        <v>48.503297014213274</v>
      </c>
      <c r="G68" s="23">
        <f t="shared" si="24"/>
        <v>49.775989622051846</v>
      </c>
      <c r="H68" s="23">
        <f t="shared" si="24"/>
        <v>51.040844585973126</v>
      </c>
      <c r="I68" s="23">
        <f t="shared" si="24"/>
        <v>52.286254951346436</v>
      </c>
      <c r="J68" s="23">
        <f t="shared" si="24"/>
        <v>53.472355121106872</v>
      </c>
      <c r="K68" s="23">
        <f t="shared" si="24"/>
        <v>54.622269501185357</v>
      </c>
      <c r="L68" s="23">
        <f t="shared" si="24"/>
        <v>55.681504802482415</v>
      </c>
      <c r="M68" s="23">
        <f t="shared" si="24"/>
        <v>56.715965988734403</v>
      </c>
      <c r="N68" s="23">
        <f t="shared" si="24"/>
        <v>57.723012711692007</v>
      </c>
      <c r="O68" s="23">
        <f t="shared" si="24"/>
        <v>58.706336983737749</v>
      </c>
      <c r="P68" s="23">
        <f t="shared" si="24"/>
        <v>59.642021073965978</v>
      </c>
      <c r="Q68" s="23">
        <f t="shared" si="24"/>
        <v>60.548616581786426</v>
      </c>
      <c r="R68" s="23">
        <f t="shared" si="24"/>
        <v>61.429559214589766</v>
      </c>
      <c r="S68" s="23">
        <f t="shared" si="24"/>
        <v>62.261618789781814</v>
      </c>
      <c r="T68" s="23">
        <f t="shared" si="24"/>
        <v>63.054148405398294</v>
      </c>
      <c r="U68" s="23">
        <f t="shared" si="24"/>
        <v>63.795982520961147</v>
      </c>
      <c r="V68" s="23">
        <f t="shared" si="24"/>
        <v>64.465672883819479</v>
      </c>
      <c r="W68" s="23">
        <f t="shared" si="24"/>
        <v>65.038028374774839</v>
      </c>
      <c r="X68" s="23">
        <f t="shared" si="24"/>
        <v>65.539873548807051</v>
      </c>
      <c r="Y68" s="23">
        <f t="shared" si="24"/>
        <v>65.976527751580178</v>
      </c>
      <c r="Z68" s="23">
        <f t="shared" si="24"/>
        <v>66.352014564632867</v>
      </c>
      <c r="AA68" s="23">
        <f t="shared" si="24"/>
        <v>66.671364481971736</v>
      </c>
      <c r="AB68" s="23">
        <f t="shared" si="24"/>
        <v>66.947472085686499</v>
      </c>
      <c r="AC68" s="23">
        <f t="shared" si="24"/>
        <v>67.17441388263228</v>
      </c>
    </row>
    <row r="69" spans="1:29" s="32" customFormat="1" ht="20.399999999999999" x14ac:dyDescent="0.3">
      <c r="A69" s="135" t="s">
        <v>86</v>
      </c>
      <c r="B69" s="67">
        <v>22.1</v>
      </c>
      <c r="C69" s="23">
        <f>B69*(1+'Forecast Parameters'!E157)</f>
        <v>22.605832538159117</v>
      </c>
      <c r="D69" s="23">
        <f>C69*(1+'Forecast Parameters'!F157)</f>
        <v>23.171946776030858</v>
      </c>
      <c r="E69" s="23">
        <f>D69*(1+'Forecast Parameters'!G157)</f>
        <v>23.760801133400648</v>
      </c>
      <c r="F69" s="23">
        <f>E69*(1+'Forecast Parameters'!H157)</f>
        <v>24.361883273048033</v>
      </c>
      <c r="G69" s="23">
        <f>F69*(1+'Forecast Parameters'!I157)</f>
        <v>25.001122060166949</v>
      </c>
      <c r="H69" s="23">
        <f>G69*(1+'Forecast Parameters'!J157)</f>
        <v>25.636424212500138</v>
      </c>
      <c r="I69" s="23">
        <f>H69*(1+'Forecast Parameters'!K157)</f>
        <v>26.261959873289914</v>
      </c>
      <c r="J69" s="23">
        <f>I69*(1+'Forecast Parameters'!L157)</f>
        <v>26.857705640374135</v>
      </c>
      <c r="K69" s="23">
        <f>J69*(1+'Forecast Parameters'!M157)</f>
        <v>27.435276272186286</v>
      </c>
      <c r="L69" s="23">
        <f>K69*(1+'Forecast Parameters'!N157)</f>
        <v>27.967301275792305</v>
      </c>
      <c r="M69" s="23">
        <f>L69*(1+'Forecast Parameters'!O157)</f>
        <v>28.486882917068872</v>
      </c>
      <c r="N69" s="23">
        <f>M69*(1+'Forecast Parameters'!P157)</f>
        <v>28.992695021099852</v>
      </c>
      <c r="O69" s="23">
        <f>N69*(1+'Forecast Parameters'!Q157)</f>
        <v>29.486591985013735</v>
      </c>
      <c r="P69" s="23">
        <f>O69*(1+'Forecast Parameters'!R157)</f>
        <v>29.956560584878368</v>
      </c>
      <c r="Q69" s="23">
        <f>P69*(1+'Forecast Parameters'!S157)</f>
        <v>30.411918783124545</v>
      </c>
      <c r="R69" s="23">
        <f>Q69*(1+'Forecast Parameters'!T157)</f>
        <v>30.854392241873494</v>
      </c>
      <c r="S69" s="23">
        <f>R69*(1+'Forecast Parameters'!U157)</f>
        <v>31.272313073958589</v>
      </c>
      <c r="T69" s="23">
        <f>S69*(1+'Forecast Parameters'!V157)</f>
        <v>31.670379085438682</v>
      </c>
      <c r="U69" s="23">
        <f>T69*(1+'Forecast Parameters'!W157)</f>
        <v>32.042982129846386</v>
      </c>
      <c r="V69" s="23">
        <f>U69*(1+'Forecast Parameters'!X157)</f>
        <v>32.379349334827502</v>
      </c>
      <c r="W69" s="23">
        <f>V69*(1+'Forecast Parameters'!Y157)</f>
        <v>32.666827888239169</v>
      </c>
      <c r="X69" s="23">
        <f>W69*(1+'Forecast Parameters'!Z157)</f>
        <v>32.918891032468984</v>
      </c>
      <c r="Y69" s="23">
        <f>X69*(1+'Forecast Parameters'!AA157)</f>
        <v>33.138210529770944</v>
      </c>
      <c r="Z69" s="23">
        <f>Y69*(1+'Forecast Parameters'!AB157)</f>
        <v>33.326807315417859</v>
      </c>
      <c r="AA69" s="23">
        <f>Z69*(1+'Forecast Parameters'!AC157)</f>
        <v>33.487208069353976</v>
      </c>
      <c r="AB69" s="23">
        <f>AA69*(1+'Forecast Parameters'!AD157)</f>
        <v>33.625889388492524</v>
      </c>
      <c r="AC69" s="23">
        <f>AB69*(1+'Forecast Parameters'!AE157)</f>
        <v>33.739876063776656</v>
      </c>
    </row>
    <row r="70" spans="1:29" s="134" customFormat="1" x14ac:dyDescent="0.85">
      <c r="A70" s="89" t="s">
        <v>51</v>
      </c>
      <c r="B70" s="248"/>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50"/>
    </row>
    <row r="71" spans="1:29" s="32" customFormat="1" ht="20.399999999999999" x14ac:dyDescent="0.3">
      <c r="A71" s="135" t="s">
        <v>217</v>
      </c>
      <c r="B71" s="67">
        <v>2.2598185327844122</v>
      </c>
      <c r="C71" s="23">
        <f>B71*(1+'Forecast Parameters'!F176)</f>
        <v>2.2049241554698114</v>
      </c>
      <c r="D71" s="23">
        <f>C71*(1+'Forecast Parameters'!G176)</f>
        <v>2.15002977815521</v>
      </c>
      <c r="E71" s="23">
        <f>D71*(1+'Forecast Parameters'!H176)</f>
        <v>2.1061142763035292</v>
      </c>
      <c r="F71" s="23">
        <f>E71*(1+'Forecast Parameters'!I176)</f>
        <v>2.062198774451848</v>
      </c>
      <c r="G71" s="23">
        <f>F71*(1+'Forecast Parameters'!J176)</f>
        <v>2.0182832726001667</v>
      </c>
      <c r="H71" s="23">
        <f>G71*(1+'Forecast Parameters'!K176)</f>
        <v>1.9743677707484857</v>
      </c>
      <c r="I71" s="23">
        <f>H71*(1+'Forecast Parameters'!L176)</f>
        <v>1.9304522688968049</v>
      </c>
      <c r="J71" s="23">
        <f>I71*(1+'Forecast Parameters'!M176)</f>
        <v>1.8938560173537375</v>
      </c>
      <c r="K71" s="23">
        <f>J71*(1+'Forecast Parameters'!N176)</f>
        <v>1.8572597658106702</v>
      </c>
      <c r="L71" s="23">
        <f>K71*(1+'Forecast Parameters'!O176)</f>
        <v>1.8206635142676031</v>
      </c>
      <c r="M71" s="23">
        <f>L71*(1+'Forecast Parameters'!P176)</f>
        <v>1.7840672627245358</v>
      </c>
      <c r="N71" s="23">
        <f>M71*(1+'Forecast Parameters'!Q176)</f>
        <v>1.7474710111814682</v>
      </c>
      <c r="O71" s="23">
        <f>N71*(1+'Forecast Parameters'!R176)</f>
        <v>1.7346623231413947</v>
      </c>
      <c r="P71" s="23">
        <f>O71*(1+'Forecast Parameters'!S176)</f>
        <v>1.7218536351013212</v>
      </c>
      <c r="Q71" s="23">
        <f>P71*(1+'Forecast Parameters'!T176)</f>
        <v>1.7090449470612479</v>
      </c>
      <c r="R71" s="23">
        <f>Q71*(1+'Forecast Parameters'!U176)</f>
        <v>1.6962362590211741</v>
      </c>
      <c r="S71" s="23">
        <f>R71*(1+'Forecast Parameters'!V176)</f>
        <v>1.6834275709811004</v>
      </c>
      <c r="T71" s="23">
        <f>S71*(1+'Forecast Parameters'!W176)</f>
        <v>1.6706188829410269</v>
      </c>
      <c r="U71" s="23">
        <f>T71*(1+'Forecast Parameters'!X176)</f>
        <v>1.6578101949009534</v>
      </c>
      <c r="V71" s="23">
        <f>U71*(1+'Forecast Parameters'!Y176)</f>
        <v>1.6450015068608796</v>
      </c>
      <c r="W71" s="23">
        <f>V71*(1+'Forecast Parameters'!Z176)</f>
        <v>1.6321928188208061</v>
      </c>
      <c r="X71" s="23">
        <f>W71*(1+'Forecast Parameters'!AA176)</f>
        <v>1.6193841307807326</v>
      </c>
      <c r="Y71" s="23">
        <f>X71*(1+'Forecast Parameters'!AB176)</f>
        <v>1.6065754427406589</v>
      </c>
      <c r="Z71" s="23">
        <f>Y71*(1+'Forecast Parameters'!AC176)</f>
        <v>1.5937667547005852</v>
      </c>
      <c r="AA71" s="23">
        <f>Z71*(1+'Forecast Parameters'!AD176)</f>
        <v>1.5809580666605116</v>
      </c>
      <c r="AB71" s="23">
        <f>AA71*(1+'Forecast Parameters'!AE176)</f>
        <v>1.5681493786204381</v>
      </c>
      <c r="AC71" s="23">
        <f>AB71*(1+'Forecast Parameters'!AF176)</f>
        <v>1.5553406905803646</v>
      </c>
    </row>
    <row r="72" spans="1:29" s="32" customFormat="1" ht="20.399999999999999" x14ac:dyDescent="0.3">
      <c r="A72" s="135" t="s">
        <v>83</v>
      </c>
      <c r="B72" s="67">
        <v>7.07</v>
      </c>
      <c r="C72" s="23">
        <f>B72*(1+'Forecast Parameters'!E163)</f>
        <v>7.2399065420560751</v>
      </c>
      <c r="D72" s="23">
        <f>C72*(1+'Forecast Parameters'!F163)</f>
        <v>7.409813084112149</v>
      </c>
      <c r="E72" s="23">
        <f>D72*(1+'Forecast Parameters'!G163)</f>
        <v>7.5608411214953266</v>
      </c>
      <c r="F72" s="23">
        <f>E72*(1+'Forecast Parameters'!H163)</f>
        <v>7.7118691588785042</v>
      </c>
      <c r="G72" s="23">
        <f>F72*(1+'Forecast Parameters'!I163)</f>
        <v>7.8628971962616827</v>
      </c>
      <c r="H72" s="23">
        <f>G72*(1+'Forecast Parameters'!J163)</f>
        <v>8.0139252336448603</v>
      </c>
      <c r="I72" s="23">
        <f>H72*(1+'Forecast Parameters'!K163)</f>
        <v>8.1649532710280379</v>
      </c>
      <c r="J72" s="23">
        <f>I72*(1+'Forecast Parameters'!L163)</f>
        <v>8.3065420560747665</v>
      </c>
      <c r="K72" s="23">
        <f>J72*(1+'Forecast Parameters'!M163)</f>
        <v>8.448130841121495</v>
      </c>
      <c r="L72" s="23">
        <f>K72*(1+'Forecast Parameters'!N163)</f>
        <v>8.5897196261682236</v>
      </c>
      <c r="M72" s="23">
        <f>L72*(1+'Forecast Parameters'!O163)</f>
        <v>8.7313084112149522</v>
      </c>
      <c r="N72" s="23">
        <f>M72*(1+'Forecast Parameters'!P163)</f>
        <v>8.8728971962616807</v>
      </c>
      <c r="O72" s="23">
        <f>N72*(1+'Forecast Parameters'!Q163)</f>
        <v>8.9465233644859783</v>
      </c>
      <c r="P72" s="23">
        <f>O72*(1+'Forecast Parameters'!R163)</f>
        <v>9.0201495327102776</v>
      </c>
      <c r="Q72" s="23">
        <f>P72*(1+'Forecast Parameters'!S163)</f>
        <v>9.093775700934577</v>
      </c>
      <c r="R72" s="23">
        <f>Q72*(1+'Forecast Parameters'!T163)</f>
        <v>9.1674018691588746</v>
      </c>
      <c r="S72" s="23">
        <f>R72*(1+'Forecast Parameters'!U163)</f>
        <v>9.2410280373831739</v>
      </c>
      <c r="T72" s="23">
        <f>S72*(1+'Forecast Parameters'!V163)</f>
        <v>9.3184299065420522</v>
      </c>
      <c r="U72" s="23">
        <f>T72*(1+'Forecast Parameters'!W163)</f>
        <v>9.3958317757009286</v>
      </c>
      <c r="V72" s="23">
        <f>U72*(1+'Forecast Parameters'!X163)</f>
        <v>9.4732336448598069</v>
      </c>
      <c r="W72" s="23">
        <f>V72*(1+'Forecast Parameters'!Y163)</f>
        <v>9.5506355140186834</v>
      </c>
      <c r="X72" s="23">
        <f>W72*(1+'Forecast Parameters'!Z163)</f>
        <v>9.6280373831775634</v>
      </c>
      <c r="Y72" s="23">
        <f>X72*(1+'Forecast Parameters'!AA163)</f>
        <v>9.7035514018691522</v>
      </c>
      <c r="Z72" s="23">
        <f>Y72*(1+'Forecast Parameters'!AB163)</f>
        <v>9.779065420560741</v>
      </c>
      <c r="AA72" s="23">
        <f>Z72*(1+'Forecast Parameters'!AC163)</f>
        <v>9.8545794392523298</v>
      </c>
      <c r="AB72" s="23">
        <f>AA72*(1+'Forecast Parameters'!AD163)</f>
        <v>9.9300934579439186</v>
      </c>
      <c r="AC72" s="23">
        <f>AB72*(1+'Forecast Parameters'!AE163)</f>
        <v>10.005607476635507</v>
      </c>
    </row>
    <row r="73" spans="1:29" s="32" customFormat="1" ht="20.399999999999999" x14ac:dyDescent="0.3">
      <c r="A73" s="135" t="s">
        <v>90</v>
      </c>
      <c r="B73" s="67">
        <v>7.07</v>
      </c>
      <c r="C73" s="23">
        <f>C72</f>
        <v>7.2399065420560751</v>
      </c>
      <c r="D73" s="23">
        <f t="shared" ref="D73:AC73" si="25">D72</f>
        <v>7.409813084112149</v>
      </c>
      <c r="E73" s="23">
        <f t="shared" si="25"/>
        <v>7.5608411214953266</v>
      </c>
      <c r="F73" s="23">
        <f t="shared" si="25"/>
        <v>7.7118691588785042</v>
      </c>
      <c r="G73" s="23">
        <f t="shared" si="25"/>
        <v>7.8628971962616827</v>
      </c>
      <c r="H73" s="23">
        <f t="shared" si="25"/>
        <v>8.0139252336448603</v>
      </c>
      <c r="I73" s="23">
        <f t="shared" si="25"/>
        <v>8.1649532710280379</v>
      </c>
      <c r="J73" s="23">
        <f t="shared" si="25"/>
        <v>8.3065420560747665</v>
      </c>
      <c r="K73" s="23">
        <f t="shared" si="25"/>
        <v>8.448130841121495</v>
      </c>
      <c r="L73" s="23">
        <f t="shared" si="25"/>
        <v>8.5897196261682236</v>
      </c>
      <c r="M73" s="23">
        <f t="shared" si="25"/>
        <v>8.7313084112149522</v>
      </c>
      <c r="N73" s="23">
        <f t="shared" si="25"/>
        <v>8.8728971962616807</v>
      </c>
      <c r="O73" s="23">
        <f t="shared" si="25"/>
        <v>8.9465233644859783</v>
      </c>
      <c r="P73" s="23">
        <f t="shared" si="25"/>
        <v>9.0201495327102776</v>
      </c>
      <c r="Q73" s="23">
        <f t="shared" si="25"/>
        <v>9.093775700934577</v>
      </c>
      <c r="R73" s="23">
        <f t="shared" si="25"/>
        <v>9.1674018691588746</v>
      </c>
      <c r="S73" s="23">
        <f t="shared" si="25"/>
        <v>9.2410280373831739</v>
      </c>
      <c r="T73" s="23">
        <f t="shared" si="25"/>
        <v>9.3184299065420522</v>
      </c>
      <c r="U73" s="23">
        <f t="shared" si="25"/>
        <v>9.3958317757009286</v>
      </c>
      <c r="V73" s="23">
        <f t="shared" si="25"/>
        <v>9.4732336448598069</v>
      </c>
      <c r="W73" s="23">
        <f t="shared" si="25"/>
        <v>9.5506355140186834</v>
      </c>
      <c r="X73" s="23">
        <f t="shared" si="25"/>
        <v>9.6280373831775634</v>
      </c>
      <c r="Y73" s="23">
        <f t="shared" si="25"/>
        <v>9.7035514018691522</v>
      </c>
      <c r="Z73" s="23">
        <f t="shared" si="25"/>
        <v>9.779065420560741</v>
      </c>
      <c r="AA73" s="23">
        <f t="shared" si="25"/>
        <v>9.8545794392523298</v>
      </c>
      <c r="AB73" s="23">
        <f t="shared" si="25"/>
        <v>9.9300934579439186</v>
      </c>
      <c r="AC73" s="23">
        <f t="shared" si="25"/>
        <v>10.005607476635507</v>
      </c>
    </row>
    <row r="74" spans="1:29" s="32" customFormat="1" ht="20.399999999999999" x14ac:dyDescent="0.3">
      <c r="A74" s="135" t="s">
        <v>87</v>
      </c>
      <c r="B74" s="67">
        <v>6.59</v>
      </c>
      <c r="C74" s="23">
        <f>B74*(1+'Forecast Parameters'!E163)</f>
        <v>6.7483711615487323</v>
      </c>
      <c r="D74" s="23">
        <f>C74*(1+'Forecast Parameters'!F163)</f>
        <v>6.9067423230974638</v>
      </c>
      <c r="E74" s="23">
        <f>D74*(1+'Forecast Parameters'!G163)</f>
        <v>7.0475166889185585</v>
      </c>
      <c r="F74" s="23">
        <f>E74*(1+'Forecast Parameters'!H163)</f>
        <v>7.1882910547396532</v>
      </c>
      <c r="G74" s="23">
        <f>F74*(1+'Forecast Parameters'!I163)</f>
        <v>7.3290654205607488</v>
      </c>
      <c r="H74" s="23">
        <f>G74*(1+'Forecast Parameters'!J163)</f>
        <v>7.4698397863818435</v>
      </c>
      <c r="I74" s="23">
        <f>H74*(1+'Forecast Parameters'!K163)</f>
        <v>7.6106141522029374</v>
      </c>
      <c r="J74" s="23">
        <f>I74*(1+'Forecast Parameters'!L163)</f>
        <v>7.7425901201602132</v>
      </c>
      <c r="K74" s="23">
        <f>J74*(1+'Forecast Parameters'!M163)</f>
        <v>7.8745660881174899</v>
      </c>
      <c r="L74" s="23">
        <f>K74*(1+'Forecast Parameters'!N163)</f>
        <v>8.0065420560747658</v>
      </c>
      <c r="M74" s="23">
        <f>L74*(1+'Forecast Parameters'!O163)</f>
        <v>8.1385180240320416</v>
      </c>
      <c r="N74" s="23">
        <f>M74*(1+'Forecast Parameters'!P163)</f>
        <v>8.2704939919893192</v>
      </c>
      <c r="O74" s="23">
        <f>N74*(1+'Forecast Parameters'!Q163)</f>
        <v>8.3391214953271025</v>
      </c>
      <c r="P74" s="23">
        <f>O74*(1+'Forecast Parameters'!R163)</f>
        <v>8.4077489986648857</v>
      </c>
      <c r="Q74" s="23">
        <f>P74*(1+'Forecast Parameters'!S163)</f>
        <v>8.4763765020026689</v>
      </c>
      <c r="R74" s="23">
        <f>Q74*(1+'Forecast Parameters'!T163)</f>
        <v>8.5450040053404521</v>
      </c>
      <c r="S74" s="23">
        <f>R74*(1+'Forecast Parameters'!U163)</f>
        <v>8.6136315086782353</v>
      </c>
      <c r="T74" s="23">
        <f>S74*(1+'Forecast Parameters'!V163)</f>
        <v>8.6857783711615468</v>
      </c>
      <c r="U74" s="23">
        <f>T74*(1+'Forecast Parameters'!W163)</f>
        <v>8.7579252336448565</v>
      </c>
      <c r="V74" s="23">
        <f>U74*(1+'Forecast Parameters'!X163)</f>
        <v>8.830072096128168</v>
      </c>
      <c r="W74" s="23">
        <f>V74*(1+'Forecast Parameters'!Y163)</f>
        <v>8.9022189586114777</v>
      </c>
      <c r="X74" s="23">
        <f>W74*(1+'Forecast Parameters'!Z163)</f>
        <v>8.974365821094791</v>
      </c>
      <c r="Y74" s="23">
        <f>X74*(1+'Forecast Parameters'!AA163)</f>
        <v>9.0447530040053383</v>
      </c>
      <c r="Z74" s="23">
        <f>Y74*(1+'Forecast Parameters'!AB163)</f>
        <v>9.1151401869158857</v>
      </c>
      <c r="AA74" s="23">
        <f>Z74*(1+'Forecast Parameters'!AC163)</f>
        <v>9.185527369826433</v>
      </c>
      <c r="AB74" s="23">
        <f>AA74*(1+'Forecast Parameters'!AD163)</f>
        <v>9.2559145527369804</v>
      </c>
      <c r="AC74" s="23">
        <f>AB74*(1+'Forecast Parameters'!AE163)</f>
        <v>9.3263017356475277</v>
      </c>
    </row>
    <row r="75" spans="1:29" s="134" customFormat="1" x14ac:dyDescent="0.85">
      <c r="A75" s="89" t="s">
        <v>203</v>
      </c>
      <c r="B75" s="248"/>
      <c r="C75" s="249"/>
      <c r="D75" s="249"/>
      <c r="E75" s="249"/>
      <c r="F75" s="249"/>
      <c r="G75" s="249"/>
      <c r="H75" s="249"/>
      <c r="I75" s="249"/>
      <c r="J75" s="249"/>
      <c r="K75" s="249"/>
      <c r="L75" s="249"/>
      <c r="M75" s="249"/>
      <c r="N75" s="249"/>
      <c r="O75" s="249"/>
      <c r="P75" s="249"/>
      <c r="Q75" s="249"/>
      <c r="R75" s="249"/>
      <c r="S75" s="249"/>
      <c r="T75" s="249"/>
      <c r="U75" s="249"/>
      <c r="V75" s="249"/>
      <c r="W75" s="249"/>
      <c r="X75" s="249"/>
      <c r="Y75" s="249"/>
      <c r="Z75" s="249"/>
      <c r="AA75" s="249"/>
      <c r="AB75" s="249"/>
      <c r="AC75" s="250"/>
    </row>
    <row r="76" spans="1:29" s="32" customFormat="1" ht="20.399999999999999" x14ac:dyDescent="0.3">
      <c r="A76" s="135" t="s">
        <v>218</v>
      </c>
      <c r="B76" s="67">
        <f>7.2/102</f>
        <v>7.0588235294117646E-2</v>
      </c>
      <c r="C76" s="23">
        <f>B76</f>
        <v>7.0588235294117646E-2</v>
      </c>
      <c r="D76" s="23">
        <f t="shared" ref="D76:AB76" si="26">C76</f>
        <v>7.0588235294117646E-2</v>
      </c>
      <c r="E76" s="23">
        <f t="shared" si="26"/>
        <v>7.0588235294117646E-2</v>
      </c>
      <c r="F76" s="23">
        <f t="shared" si="26"/>
        <v>7.0588235294117646E-2</v>
      </c>
      <c r="G76" s="23">
        <f t="shared" si="26"/>
        <v>7.0588235294117646E-2</v>
      </c>
      <c r="H76" s="23">
        <f t="shared" si="26"/>
        <v>7.0588235294117646E-2</v>
      </c>
      <c r="I76" s="23">
        <f t="shared" si="26"/>
        <v>7.0588235294117646E-2</v>
      </c>
      <c r="J76" s="23">
        <f t="shared" si="26"/>
        <v>7.0588235294117646E-2</v>
      </c>
      <c r="K76" s="23">
        <f t="shared" si="26"/>
        <v>7.0588235294117646E-2</v>
      </c>
      <c r="L76" s="23">
        <f t="shared" si="26"/>
        <v>7.0588235294117646E-2</v>
      </c>
      <c r="M76" s="23">
        <f t="shared" si="26"/>
        <v>7.0588235294117646E-2</v>
      </c>
      <c r="N76" s="23">
        <f t="shared" si="26"/>
        <v>7.0588235294117646E-2</v>
      </c>
      <c r="O76" s="23">
        <f t="shared" si="26"/>
        <v>7.0588235294117646E-2</v>
      </c>
      <c r="P76" s="23">
        <f t="shared" si="26"/>
        <v>7.0588235294117646E-2</v>
      </c>
      <c r="Q76" s="23">
        <f t="shared" si="26"/>
        <v>7.0588235294117646E-2</v>
      </c>
      <c r="R76" s="23">
        <f t="shared" si="26"/>
        <v>7.0588235294117646E-2</v>
      </c>
      <c r="S76" s="23">
        <f t="shared" si="26"/>
        <v>7.0588235294117646E-2</v>
      </c>
      <c r="T76" s="23">
        <f t="shared" si="26"/>
        <v>7.0588235294117646E-2</v>
      </c>
      <c r="U76" s="23">
        <f t="shared" si="26"/>
        <v>7.0588235294117646E-2</v>
      </c>
      <c r="V76" s="23">
        <f t="shared" si="26"/>
        <v>7.0588235294117646E-2</v>
      </c>
      <c r="W76" s="23">
        <f t="shared" si="26"/>
        <v>7.0588235294117646E-2</v>
      </c>
      <c r="X76" s="23">
        <f t="shared" si="26"/>
        <v>7.0588235294117646E-2</v>
      </c>
      <c r="Y76" s="23">
        <f t="shared" si="26"/>
        <v>7.0588235294117646E-2</v>
      </c>
      <c r="Z76" s="23">
        <f t="shared" si="26"/>
        <v>7.0588235294117646E-2</v>
      </c>
      <c r="AA76" s="23">
        <f t="shared" si="26"/>
        <v>7.0588235294117646E-2</v>
      </c>
      <c r="AB76" s="23">
        <f t="shared" si="26"/>
        <v>7.0588235294117646E-2</v>
      </c>
      <c r="AC76" s="23">
        <f>AB76</f>
        <v>7.0588235294117646E-2</v>
      </c>
    </row>
    <row r="77" spans="1:29" s="32" customFormat="1" ht="20.399999999999999" x14ac:dyDescent="0.3">
      <c r="A77" s="135" t="s">
        <v>84</v>
      </c>
      <c r="B77" s="67">
        <v>50</v>
      </c>
      <c r="C77" s="23">
        <f t="shared" ref="C77:AC77" si="27">B77</f>
        <v>50</v>
      </c>
      <c r="D77" s="23">
        <f t="shared" si="27"/>
        <v>50</v>
      </c>
      <c r="E77" s="23">
        <f t="shared" si="27"/>
        <v>50</v>
      </c>
      <c r="F77" s="23">
        <f t="shared" si="27"/>
        <v>50</v>
      </c>
      <c r="G77" s="23">
        <f t="shared" si="27"/>
        <v>50</v>
      </c>
      <c r="H77" s="23">
        <f t="shared" si="27"/>
        <v>50</v>
      </c>
      <c r="I77" s="23">
        <f t="shared" si="27"/>
        <v>50</v>
      </c>
      <c r="J77" s="23">
        <f t="shared" si="27"/>
        <v>50</v>
      </c>
      <c r="K77" s="23">
        <f t="shared" si="27"/>
        <v>50</v>
      </c>
      <c r="L77" s="23">
        <f t="shared" si="27"/>
        <v>50</v>
      </c>
      <c r="M77" s="23">
        <f t="shared" si="27"/>
        <v>50</v>
      </c>
      <c r="N77" s="23">
        <f t="shared" si="27"/>
        <v>50</v>
      </c>
      <c r="O77" s="23">
        <f t="shared" si="27"/>
        <v>50</v>
      </c>
      <c r="P77" s="23">
        <f t="shared" si="27"/>
        <v>50</v>
      </c>
      <c r="Q77" s="23">
        <f t="shared" si="27"/>
        <v>50</v>
      </c>
      <c r="R77" s="23">
        <f t="shared" si="27"/>
        <v>50</v>
      </c>
      <c r="S77" s="23">
        <f t="shared" si="27"/>
        <v>50</v>
      </c>
      <c r="T77" s="23">
        <f t="shared" si="27"/>
        <v>50</v>
      </c>
      <c r="U77" s="23">
        <f t="shared" si="27"/>
        <v>50</v>
      </c>
      <c r="V77" s="23">
        <f t="shared" si="27"/>
        <v>50</v>
      </c>
      <c r="W77" s="23">
        <f t="shared" si="27"/>
        <v>50</v>
      </c>
      <c r="X77" s="23">
        <f t="shared" si="27"/>
        <v>50</v>
      </c>
      <c r="Y77" s="23">
        <f t="shared" si="27"/>
        <v>50</v>
      </c>
      <c r="Z77" s="23">
        <f t="shared" si="27"/>
        <v>50</v>
      </c>
      <c r="AA77" s="23">
        <f t="shared" si="27"/>
        <v>50</v>
      </c>
      <c r="AB77" s="23">
        <f t="shared" si="27"/>
        <v>50</v>
      </c>
      <c r="AC77" s="23">
        <f t="shared" si="27"/>
        <v>50</v>
      </c>
    </row>
    <row r="78" spans="1:29" s="32" customFormat="1" ht="20.399999999999999" x14ac:dyDescent="0.3">
      <c r="A78" s="136" t="s">
        <v>91</v>
      </c>
      <c r="B78" s="106">
        <v>50</v>
      </c>
      <c r="C78" s="107">
        <f t="shared" ref="C78:AC78" si="28">B78</f>
        <v>50</v>
      </c>
      <c r="D78" s="107">
        <f t="shared" si="28"/>
        <v>50</v>
      </c>
      <c r="E78" s="107">
        <f t="shared" si="28"/>
        <v>50</v>
      </c>
      <c r="F78" s="107">
        <f t="shared" si="28"/>
        <v>50</v>
      </c>
      <c r="G78" s="107">
        <f t="shared" si="28"/>
        <v>50</v>
      </c>
      <c r="H78" s="107">
        <f t="shared" si="28"/>
        <v>50</v>
      </c>
      <c r="I78" s="107">
        <f t="shared" si="28"/>
        <v>50</v>
      </c>
      <c r="J78" s="107">
        <f t="shared" si="28"/>
        <v>50</v>
      </c>
      <c r="K78" s="107">
        <f t="shared" si="28"/>
        <v>50</v>
      </c>
      <c r="L78" s="107">
        <f t="shared" si="28"/>
        <v>50</v>
      </c>
      <c r="M78" s="107">
        <f t="shared" si="28"/>
        <v>50</v>
      </c>
      <c r="N78" s="107">
        <f t="shared" si="28"/>
        <v>50</v>
      </c>
      <c r="O78" s="107">
        <f t="shared" si="28"/>
        <v>50</v>
      </c>
      <c r="P78" s="107">
        <f t="shared" si="28"/>
        <v>50</v>
      </c>
      <c r="Q78" s="107">
        <f t="shared" si="28"/>
        <v>50</v>
      </c>
      <c r="R78" s="107">
        <f t="shared" si="28"/>
        <v>50</v>
      </c>
      <c r="S78" s="107">
        <f t="shared" si="28"/>
        <v>50</v>
      </c>
      <c r="T78" s="107">
        <f t="shared" si="28"/>
        <v>50</v>
      </c>
      <c r="U78" s="107">
        <f t="shared" si="28"/>
        <v>50</v>
      </c>
      <c r="V78" s="107">
        <f t="shared" si="28"/>
        <v>50</v>
      </c>
      <c r="W78" s="107">
        <f t="shared" si="28"/>
        <v>50</v>
      </c>
      <c r="X78" s="107">
        <f t="shared" si="28"/>
        <v>50</v>
      </c>
      <c r="Y78" s="107">
        <f t="shared" si="28"/>
        <v>50</v>
      </c>
      <c r="Z78" s="107">
        <f t="shared" si="28"/>
        <v>50</v>
      </c>
      <c r="AA78" s="107">
        <f t="shared" si="28"/>
        <v>50</v>
      </c>
      <c r="AB78" s="107">
        <f t="shared" si="28"/>
        <v>50</v>
      </c>
      <c r="AC78" s="107">
        <f t="shared" si="28"/>
        <v>50</v>
      </c>
    </row>
    <row r="79" spans="1:29" s="134" customFormat="1" x14ac:dyDescent="0.85">
      <c r="A79" s="201" t="s">
        <v>215</v>
      </c>
      <c r="B79" s="201"/>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3"/>
    </row>
    <row r="80" spans="1:29" s="132" customFormat="1" x14ac:dyDescent="0.7">
      <c r="A80" s="256"/>
      <c r="B80" s="2">
        <v>2023</v>
      </c>
      <c r="C80" s="2">
        <v>2024</v>
      </c>
      <c r="D80" s="2">
        <v>2025</v>
      </c>
      <c r="E80" s="2">
        <v>2026</v>
      </c>
      <c r="F80" s="2">
        <v>2027</v>
      </c>
      <c r="G80" s="2">
        <v>2028</v>
      </c>
      <c r="H80" s="2">
        <v>2029</v>
      </c>
      <c r="I80" s="2">
        <v>2030</v>
      </c>
      <c r="J80" s="2">
        <v>2031</v>
      </c>
      <c r="K80" s="2">
        <v>2032</v>
      </c>
      <c r="L80" s="2">
        <v>2033</v>
      </c>
      <c r="M80" s="2">
        <v>2034</v>
      </c>
      <c r="N80" s="2">
        <v>2035</v>
      </c>
      <c r="O80" s="2">
        <v>2036</v>
      </c>
      <c r="P80" s="2">
        <v>2037</v>
      </c>
      <c r="Q80" s="2">
        <v>2038</v>
      </c>
      <c r="R80" s="2">
        <v>2039</v>
      </c>
      <c r="S80" s="2">
        <v>2040</v>
      </c>
      <c r="T80" s="2">
        <v>2041</v>
      </c>
      <c r="U80" s="2">
        <v>2042</v>
      </c>
      <c r="V80" s="2">
        <v>2043</v>
      </c>
      <c r="W80" s="2">
        <v>2044</v>
      </c>
      <c r="X80" s="2">
        <v>2045</v>
      </c>
      <c r="Y80" s="2">
        <v>2046</v>
      </c>
      <c r="Z80" s="2">
        <v>2047</v>
      </c>
      <c r="AA80" s="2">
        <v>2048</v>
      </c>
      <c r="AB80" s="2">
        <v>2049</v>
      </c>
      <c r="AC80" s="2">
        <v>2050</v>
      </c>
    </row>
    <row r="81" spans="1:29" s="134" customFormat="1" x14ac:dyDescent="0.85">
      <c r="A81" s="105" t="s">
        <v>219</v>
      </c>
      <c r="B81" s="258"/>
      <c r="C81" s="259"/>
      <c r="D81" s="259"/>
      <c r="E81" s="259"/>
      <c r="F81" s="259"/>
      <c r="G81" s="259"/>
      <c r="H81" s="259"/>
      <c r="I81" s="259"/>
      <c r="J81" s="259"/>
      <c r="K81" s="259"/>
      <c r="L81" s="259"/>
      <c r="M81" s="259"/>
      <c r="N81" s="259"/>
      <c r="O81" s="259"/>
      <c r="P81" s="259"/>
      <c r="Q81" s="259"/>
      <c r="R81" s="259"/>
      <c r="S81" s="259"/>
      <c r="T81" s="259"/>
      <c r="U81" s="259"/>
      <c r="V81" s="259"/>
      <c r="W81" s="259"/>
      <c r="X81" s="259"/>
      <c r="Y81" s="259"/>
      <c r="Z81" s="259"/>
      <c r="AA81" s="259"/>
      <c r="AB81" s="259"/>
      <c r="AC81" s="260"/>
    </row>
    <row r="82" spans="1:29" s="32" customFormat="1" ht="20.399999999999999" x14ac:dyDescent="0.3">
      <c r="A82" s="135" t="s">
        <v>220</v>
      </c>
      <c r="B82" s="92">
        <f>B25*B$23*(B54)+B28*$B$211*B23*B55</f>
        <v>18625383.91419442</v>
      </c>
      <c r="C82" s="92">
        <f t="shared" ref="C82:AC82" si="29">C25*C$23*(C54)+C28*$B$211*C23*C55</f>
        <v>20672155.127833959</v>
      </c>
      <c r="D82" s="92">
        <f t="shared" si="29"/>
        <v>22933364.128495619</v>
      </c>
      <c r="E82" s="92">
        <f t="shared" si="29"/>
        <v>25516268.279258329</v>
      </c>
      <c r="F82" s="92">
        <f t="shared" si="29"/>
        <v>28029592.186491147</v>
      </c>
      <c r="G82" s="92">
        <f t="shared" si="29"/>
        <v>30408104.190967619</v>
      </c>
      <c r="H82" s="92">
        <f t="shared" si="29"/>
        <v>32674328.295964655</v>
      </c>
      <c r="I82" s="92">
        <f t="shared" si="29"/>
        <v>34897319.313397378</v>
      </c>
      <c r="J82" s="92">
        <f t="shared" si="29"/>
        <v>36598438.487475939</v>
      </c>
      <c r="K82" s="92">
        <f t="shared" si="29"/>
        <v>38103581.691958308</v>
      </c>
      <c r="L82" s="92">
        <f t="shared" si="29"/>
        <v>39442501.122161254</v>
      </c>
      <c r="M82" s="92">
        <f t="shared" si="29"/>
        <v>40597176.956724539</v>
      </c>
      <c r="N82" s="92">
        <f t="shared" si="29"/>
        <v>41539319.943854146</v>
      </c>
      <c r="O82" s="92">
        <f t="shared" si="29"/>
        <v>42937684.510413304</v>
      </c>
      <c r="P82" s="92">
        <f t="shared" si="29"/>
        <v>44129784.191903852</v>
      </c>
      <c r="Q82" s="92">
        <f t="shared" si="29"/>
        <v>45112850.795479842</v>
      </c>
      <c r="R82" s="92">
        <f t="shared" si="29"/>
        <v>45950638.911996253</v>
      </c>
      <c r="S82" s="92">
        <f t="shared" si="29"/>
        <v>46659438.291962802</v>
      </c>
      <c r="T82" s="92">
        <f t="shared" si="29"/>
        <v>47349655.107722744</v>
      </c>
      <c r="U82" s="92">
        <f t="shared" si="29"/>
        <v>47953787.751098678</v>
      </c>
      <c r="V82" s="92">
        <f t="shared" si="29"/>
        <v>48507701.965000659</v>
      </c>
      <c r="W82" s="92">
        <f t="shared" si="29"/>
        <v>49027252.096971907</v>
      </c>
      <c r="X82" s="92">
        <f t="shared" si="29"/>
        <v>49506315.443977505</v>
      </c>
      <c r="Y82" s="92">
        <f t="shared" si="29"/>
        <v>49953844.806384943</v>
      </c>
      <c r="Z82" s="92">
        <f t="shared" si="29"/>
        <v>50408965.09295924</v>
      </c>
      <c r="AA82" s="92">
        <f t="shared" si="29"/>
        <v>50841615.446081057</v>
      </c>
      <c r="AB82" s="92">
        <f t="shared" si="29"/>
        <v>51257482.864155039</v>
      </c>
      <c r="AC82" s="92">
        <f t="shared" si="29"/>
        <v>51688786.970750995</v>
      </c>
    </row>
    <row r="83" spans="1:29" s="32" customFormat="1" ht="20.399999999999999" x14ac:dyDescent="0.3">
      <c r="A83" s="135" t="s">
        <v>117</v>
      </c>
      <c r="B83" s="92">
        <f>B26*B$23*(1/B56)+B23*B27*(1/B57)+B28*$B$212*B23*(1/B58)</f>
        <v>93707645.653083175</v>
      </c>
      <c r="C83" s="92">
        <f t="shared" ref="C83:AC83" si="30">C26*C$23*(1/C56)+C23*C27*(1/C57)+C28*$B$212*C23*(1/C58)</f>
        <v>91811890.287356585</v>
      </c>
      <c r="D83" s="92">
        <f t="shared" si="30"/>
        <v>89819282.651631504</v>
      </c>
      <c r="E83" s="92">
        <f t="shared" si="30"/>
        <v>87666191.396713644</v>
      </c>
      <c r="F83" s="92">
        <f t="shared" si="30"/>
        <v>85474268.361701742</v>
      </c>
      <c r="G83" s="92">
        <f t="shared" si="30"/>
        <v>83241325.761209071</v>
      </c>
      <c r="H83" s="92">
        <f t="shared" si="30"/>
        <v>80940749.658335105</v>
      </c>
      <c r="I83" s="92">
        <f t="shared" si="30"/>
        <v>78612604.503819063</v>
      </c>
      <c r="J83" s="92">
        <f t="shared" si="30"/>
        <v>76337864.982675761</v>
      </c>
      <c r="K83" s="92">
        <f t="shared" si="30"/>
        <v>74126505.228239119</v>
      </c>
      <c r="L83" s="92">
        <f t="shared" si="30"/>
        <v>72039266.853957623</v>
      </c>
      <c r="M83" s="92">
        <f t="shared" si="30"/>
        <v>70068868.886160403</v>
      </c>
      <c r="N83" s="92">
        <f t="shared" si="30"/>
        <v>68131084.261590943</v>
      </c>
      <c r="O83" s="92">
        <f t="shared" si="30"/>
        <v>66242370.676737241</v>
      </c>
      <c r="P83" s="92">
        <f t="shared" si="30"/>
        <v>64530985.458161697</v>
      </c>
      <c r="Q83" s="92">
        <f t="shared" si="30"/>
        <v>63047121.986261465</v>
      </c>
      <c r="R83" s="92">
        <f t="shared" si="30"/>
        <v>61685789.146213725</v>
      </c>
      <c r="S83" s="92">
        <f t="shared" si="30"/>
        <v>60535327.118553437</v>
      </c>
      <c r="T83" s="92">
        <f t="shared" si="30"/>
        <v>59472424.980169162</v>
      </c>
      <c r="U83" s="92">
        <f t="shared" si="30"/>
        <v>58577670.69817581</v>
      </c>
      <c r="V83" s="92">
        <f t="shared" si="30"/>
        <v>57861238.485878251</v>
      </c>
      <c r="W83" s="92">
        <f t="shared" si="30"/>
        <v>57251175.182973832</v>
      </c>
      <c r="X83" s="92">
        <f t="shared" si="30"/>
        <v>56734804.288107462</v>
      </c>
      <c r="Y83" s="92">
        <f t="shared" si="30"/>
        <v>56247926.684116468</v>
      </c>
      <c r="Z83" s="92">
        <f t="shared" si="30"/>
        <v>55840071.654094666</v>
      </c>
      <c r="AA83" s="92">
        <f t="shared" si="30"/>
        <v>55471344.335709572</v>
      </c>
      <c r="AB83" s="92">
        <f t="shared" si="30"/>
        <v>55110768.418628715</v>
      </c>
      <c r="AC83" s="92">
        <f t="shared" si="30"/>
        <v>54796360.382961333</v>
      </c>
    </row>
    <row r="84" spans="1:29" s="32" customFormat="1" ht="20.399999999999999" x14ac:dyDescent="0.3">
      <c r="A84" s="135" t="s">
        <v>221</v>
      </c>
      <c r="B84" s="92">
        <f t="shared" ref="B84:AC84" si="31">B29*B$23*(1/B59)+B30*B23*(1/B60)+B31*B23*(1/B61)*$B$212</f>
        <v>10560984.176028863</v>
      </c>
      <c r="C84" s="92">
        <f t="shared" si="31"/>
        <v>10347329.865545161</v>
      </c>
      <c r="D84" s="92">
        <f t="shared" si="31"/>
        <v>10122760.16727493</v>
      </c>
      <c r="E84" s="92">
        <f t="shared" si="31"/>
        <v>9880103.7381835897</v>
      </c>
      <c r="F84" s="92">
        <f t="shared" si="31"/>
        <v>9633070.9125640709</v>
      </c>
      <c r="G84" s="92">
        <f t="shared" si="31"/>
        <v>9381415.1239095628</v>
      </c>
      <c r="H84" s="92">
        <f t="shared" si="31"/>
        <v>9122136.9438969083</v>
      </c>
      <c r="I84" s="92">
        <f t="shared" si="31"/>
        <v>8859751.692779107</v>
      </c>
      <c r="J84" s="92">
        <f t="shared" si="31"/>
        <v>8603385.3320627175</v>
      </c>
      <c r="K84" s="92">
        <f t="shared" si="31"/>
        <v>8354161.9606787823</v>
      </c>
      <c r="L84" s="92">
        <f t="shared" si="31"/>
        <v>8118927.2443569805</v>
      </c>
      <c r="M84" s="92">
        <f t="shared" si="31"/>
        <v>7896860.607068656</v>
      </c>
      <c r="N84" s="92">
        <f t="shared" si="31"/>
        <v>7678469.539680263</v>
      </c>
      <c r="O84" s="92">
        <f t="shared" si="31"/>
        <v>7465608.8478586432</v>
      </c>
      <c r="P84" s="92">
        <f t="shared" si="31"/>
        <v>7272733.3136746148</v>
      </c>
      <c r="Q84" s="92">
        <f t="shared" si="31"/>
        <v>7105499.8020768333</v>
      </c>
      <c r="R84" s="92">
        <f t="shared" si="31"/>
        <v>6952075.6659580152</v>
      </c>
      <c r="S84" s="92">
        <f t="shared" si="31"/>
        <v>6822416.9685853031</v>
      </c>
      <c r="T84" s="92">
        <f t="shared" si="31"/>
        <v>6702626.3945514522</v>
      </c>
      <c r="U84" s="92">
        <f t="shared" si="31"/>
        <v>6601786.3217088487</v>
      </c>
      <c r="V84" s="92">
        <f t="shared" si="31"/>
        <v>6521043.3982841903</v>
      </c>
      <c r="W84" s="92">
        <f t="shared" si="31"/>
        <v>6452288.4013632163</v>
      </c>
      <c r="X84" s="92">
        <f t="shared" si="31"/>
        <v>6394092.6713175094</v>
      </c>
      <c r="Y84" s="92">
        <f t="shared" si="31"/>
        <v>6339220.8768595876</v>
      </c>
      <c r="Z84" s="92">
        <f t="shared" si="31"/>
        <v>6293255.0382329253</v>
      </c>
      <c r="AA84" s="92">
        <f t="shared" si="31"/>
        <v>6251698.9480377762</v>
      </c>
      <c r="AB84" s="92">
        <f t="shared" si="31"/>
        <v>6211061.5322964201</v>
      </c>
      <c r="AC84" s="92">
        <f t="shared" si="31"/>
        <v>6175627.3020758433</v>
      </c>
    </row>
    <row r="85" spans="1:29" s="32" customFormat="1" ht="20.399999999999999" x14ac:dyDescent="0.3">
      <c r="A85" s="135" t="s">
        <v>92</v>
      </c>
      <c r="B85" s="92">
        <f>B32*B$23*(1/B62)</f>
        <v>2853314.7391534462</v>
      </c>
      <c r="C85" s="92">
        <f t="shared" ref="C85:AC85" si="32">C32*C$23*(1/C62)</f>
        <v>2795590.66883711</v>
      </c>
      <c r="D85" s="92">
        <f t="shared" si="32"/>
        <v>2734917.5327579845</v>
      </c>
      <c r="E85" s="92">
        <f t="shared" si="32"/>
        <v>2669357.8127417183</v>
      </c>
      <c r="F85" s="92">
        <f t="shared" si="32"/>
        <v>2602615.6994456118</v>
      </c>
      <c r="G85" s="92">
        <f t="shared" si="32"/>
        <v>2534624.5767440922</v>
      </c>
      <c r="H85" s="92">
        <f t="shared" si="32"/>
        <v>2464574.0738515514</v>
      </c>
      <c r="I85" s="92">
        <f t="shared" si="32"/>
        <v>2393684.1177762244</v>
      </c>
      <c r="J85" s="92">
        <f t="shared" si="32"/>
        <v>2324420.3158934861</v>
      </c>
      <c r="K85" s="92">
        <f t="shared" si="32"/>
        <v>2257086.3717213729</v>
      </c>
      <c r="L85" s="92">
        <f t="shared" si="32"/>
        <v>2193531.8135425001</v>
      </c>
      <c r="M85" s="92">
        <f t="shared" si="32"/>
        <v>2133534.9421631065</v>
      </c>
      <c r="N85" s="92">
        <f t="shared" si="32"/>
        <v>2074531.1181735636</v>
      </c>
      <c r="O85" s="92">
        <f t="shared" si="32"/>
        <v>2017021.4638423321</v>
      </c>
      <c r="P85" s="92">
        <f t="shared" si="32"/>
        <v>1964911.3010642717</v>
      </c>
      <c r="Q85" s="92">
        <f t="shared" si="32"/>
        <v>1919728.9737764979</v>
      </c>
      <c r="R85" s="92">
        <f t="shared" si="32"/>
        <v>1878277.5956063326</v>
      </c>
      <c r="S85" s="92">
        <f t="shared" si="32"/>
        <v>1843247.0467382905</v>
      </c>
      <c r="T85" s="92">
        <f t="shared" si="32"/>
        <v>1810882.6188776512</v>
      </c>
      <c r="U85" s="92">
        <f t="shared" si="32"/>
        <v>1783638.144182557</v>
      </c>
      <c r="V85" s="92">
        <f t="shared" si="32"/>
        <v>1761823.4184287924</v>
      </c>
      <c r="W85" s="92">
        <f t="shared" si="32"/>
        <v>1743247.5316709699</v>
      </c>
      <c r="X85" s="92">
        <f t="shared" si="32"/>
        <v>1727524.4956804314</v>
      </c>
      <c r="Y85" s="92">
        <f t="shared" si="32"/>
        <v>1712699.504251512</v>
      </c>
      <c r="Z85" s="92">
        <f t="shared" si="32"/>
        <v>1700280.6801471543</v>
      </c>
      <c r="AA85" s="92">
        <f t="shared" si="32"/>
        <v>1689053.2601757711</v>
      </c>
      <c r="AB85" s="92">
        <f t="shared" si="32"/>
        <v>1678074.0431479579</v>
      </c>
      <c r="AC85" s="92">
        <f t="shared" si="32"/>
        <v>1668500.5971817747</v>
      </c>
    </row>
    <row r="86" spans="1:29" s="134" customFormat="1" x14ac:dyDescent="0.85">
      <c r="A86" s="89" t="s">
        <v>50</v>
      </c>
      <c r="B86" s="248"/>
      <c r="C86" s="249"/>
      <c r="D86" s="249"/>
      <c r="E86" s="249"/>
      <c r="F86" s="249"/>
      <c r="G86" s="249"/>
      <c r="H86" s="249"/>
      <c r="I86" s="249"/>
      <c r="J86" s="249"/>
      <c r="K86" s="249"/>
      <c r="L86" s="249"/>
      <c r="M86" s="249"/>
      <c r="N86" s="249"/>
      <c r="O86" s="249"/>
      <c r="P86" s="249"/>
      <c r="Q86" s="249"/>
      <c r="R86" s="249"/>
      <c r="S86" s="249"/>
      <c r="T86" s="249"/>
      <c r="U86" s="249"/>
      <c r="V86" s="249"/>
      <c r="W86" s="249"/>
      <c r="X86" s="249"/>
      <c r="Y86" s="249"/>
      <c r="Z86" s="249"/>
      <c r="AA86" s="249"/>
      <c r="AB86" s="249"/>
      <c r="AC86" s="250"/>
    </row>
    <row r="87" spans="1:29" s="32" customFormat="1" ht="20.399999999999999" x14ac:dyDescent="0.3">
      <c r="A87" s="135" t="s">
        <v>220</v>
      </c>
      <c r="B87" s="92">
        <f t="shared" ref="B87:AB87" si="33">B34*B$23*(B64)</f>
        <v>0</v>
      </c>
      <c r="C87" s="92">
        <f>C34*C$23*(C64)</f>
        <v>780219.07668094593</v>
      </c>
      <c r="D87" s="92">
        <f t="shared" si="33"/>
        <v>1642423.302020106</v>
      </c>
      <c r="E87" s="92">
        <f t="shared" si="33"/>
        <v>2523260.8663839642</v>
      </c>
      <c r="F87" s="92">
        <f t="shared" si="33"/>
        <v>3419539.5798430024</v>
      </c>
      <c r="G87" s="92">
        <f t="shared" si="33"/>
        <v>4297406.5288053602</v>
      </c>
      <c r="H87" s="92">
        <f t="shared" si="33"/>
        <v>5182074.7123385277</v>
      </c>
      <c r="I87" s="92">
        <f t="shared" si="33"/>
        <v>6118119.9078103425</v>
      </c>
      <c r="J87" s="92">
        <f t="shared" si="33"/>
        <v>6943945.1876951009</v>
      </c>
      <c r="K87" s="92">
        <f t="shared" si="33"/>
        <v>7741322.9473795164</v>
      </c>
      <c r="L87" s="92">
        <f t="shared" si="33"/>
        <v>8505316.195794994</v>
      </c>
      <c r="M87" s="92">
        <f t="shared" si="33"/>
        <v>9205295.8168629836</v>
      </c>
      <c r="N87" s="92">
        <f t="shared" si="33"/>
        <v>9798416.2739655618</v>
      </c>
      <c r="O87" s="92">
        <f t="shared" si="33"/>
        <v>10370625.341092395</v>
      </c>
      <c r="P87" s="92">
        <f t="shared" si="33"/>
        <v>10803781.584752234</v>
      </c>
      <c r="Q87" s="92">
        <f t="shared" si="33"/>
        <v>11096248.6166391</v>
      </c>
      <c r="R87" s="92">
        <f t="shared" si="33"/>
        <v>11286967.587524539</v>
      </c>
      <c r="S87" s="92">
        <f t="shared" si="33"/>
        <v>11396818.622274358</v>
      </c>
      <c r="T87" s="92">
        <f t="shared" si="33"/>
        <v>11505182.002908435</v>
      </c>
      <c r="U87" s="92">
        <f t="shared" si="33"/>
        <v>11573793.318066685</v>
      </c>
      <c r="V87" s="92">
        <f t="shared" si="33"/>
        <v>11620267.404865181</v>
      </c>
      <c r="W87" s="92">
        <f t="shared" si="33"/>
        <v>11649635.018567773</v>
      </c>
      <c r="X87" s="92">
        <f t="shared" si="33"/>
        <v>11651140.29648757</v>
      </c>
      <c r="Y87" s="92">
        <f t="shared" si="33"/>
        <v>11655727.548751455</v>
      </c>
      <c r="Z87" s="92">
        <f t="shared" si="33"/>
        <v>11671794.611064363</v>
      </c>
      <c r="AA87" s="92">
        <f t="shared" si="33"/>
        <v>11674341.920796547</v>
      </c>
      <c r="AB87" s="92">
        <f t="shared" si="33"/>
        <v>11663935.225637728</v>
      </c>
      <c r="AC87" s="92">
        <f>AC34*AC$23*(AC64)</f>
        <v>11665059.170369003</v>
      </c>
    </row>
    <row r="88" spans="1:29" s="32" customFormat="1" ht="20.399999999999999" x14ac:dyDescent="0.3">
      <c r="A88" s="135" t="s">
        <v>117</v>
      </c>
      <c r="B88" s="92">
        <f t="shared" ref="B88:AC88" si="34">B35*B$23*(1/B65)+B36*B23*(1/B66)</f>
        <v>40021980.230227917</v>
      </c>
      <c r="C88" s="92">
        <f t="shared" si="34"/>
        <v>39164706.456129134</v>
      </c>
      <c r="D88" s="92">
        <f t="shared" si="34"/>
        <v>38236231.764091708</v>
      </c>
      <c r="E88" s="92">
        <f t="shared" si="34"/>
        <v>37284635.135406867</v>
      </c>
      <c r="F88" s="92">
        <f t="shared" si="34"/>
        <v>36358776.059454091</v>
      </c>
      <c r="G88" s="92">
        <f t="shared" si="34"/>
        <v>35424312.607739568</v>
      </c>
      <c r="H88" s="92">
        <f t="shared" si="34"/>
        <v>34540533.213649563</v>
      </c>
      <c r="I88" s="92">
        <f t="shared" si="34"/>
        <v>33707094.850799344</v>
      </c>
      <c r="J88" s="92">
        <f t="shared" si="34"/>
        <v>32918314.324169505</v>
      </c>
      <c r="K88" s="92">
        <f t="shared" si="34"/>
        <v>32184603.116602924</v>
      </c>
      <c r="L88" s="92">
        <f t="shared" si="34"/>
        <v>31532336.840007972</v>
      </c>
      <c r="M88" s="92">
        <f t="shared" si="34"/>
        <v>30920390.016419969</v>
      </c>
      <c r="N88" s="92">
        <f t="shared" si="34"/>
        <v>30350910.140920632</v>
      </c>
      <c r="O88" s="92">
        <f t="shared" si="34"/>
        <v>29792623.335473396</v>
      </c>
      <c r="P88" s="92">
        <f t="shared" si="34"/>
        <v>29286778.546809666</v>
      </c>
      <c r="Q88" s="92">
        <f t="shared" si="34"/>
        <v>28821260.025441214</v>
      </c>
      <c r="R88" s="92">
        <f t="shared" si="34"/>
        <v>28389116.546840649</v>
      </c>
      <c r="S88" s="92">
        <f t="shared" si="34"/>
        <v>27997328.527069081</v>
      </c>
      <c r="T88" s="92">
        <f t="shared" si="34"/>
        <v>27614012.214933813</v>
      </c>
      <c r="U88" s="92">
        <f t="shared" si="34"/>
        <v>27264800.979925819</v>
      </c>
      <c r="V88" s="92">
        <f t="shared" si="34"/>
        <v>26955332.734180041</v>
      </c>
      <c r="W88" s="92">
        <f t="shared" si="34"/>
        <v>26693323.329725727</v>
      </c>
      <c r="X88" s="92">
        <f t="shared" si="34"/>
        <v>26466395.044219907</v>
      </c>
      <c r="Y88" s="92">
        <f t="shared" si="34"/>
        <v>26250137.172353096</v>
      </c>
      <c r="Z88" s="92">
        <f t="shared" si="34"/>
        <v>26059704.370849639</v>
      </c>
      <c r="AA88" s="92">
        <f t="shared" si="34"/>
        <v>25894135.043099105</v>
      </c>
      <c r="AB88" s="92">
        <f t="shared" si="34"/>
        <v>25747673.963323768</v>
      </c>
      <c r="AC88" s="92">
        <f t="shared" si="34"/>
        <v>25620131.295111932</v>
      </c>
    </row>
    <row r="89" spans="1:29" s="32" customFormat="1" ht="20.399999999999999" x14ac:dyDescent="0.3">
      <c r="A89" s="135" t="s">
        <v>221</v>
      </c>
      <c r="B89" s="92">
        <f t="shared" ref="B89:AC89" si="35">B37*B$23*(1/B67)+B38*B23*(1/B68)</f>
        <v>4528762.5221945448</v>
      </c>
      <c r="C89" s="92">
        <f t="shared" si="35"/>
        <v>4431756.094300041</v>
      </c>
      <c r="D89" s="92">
        <f t="shared" si="35"/>
        <v>4326692.7924864693</v>
      </c>
      <c r="E89" s="92">
        <f t="shared" si="35"/>
        <v>4219013.0843999712</v>
      </c>
      <c r="F89" s="92">
        <f t="shared" si="35"/>
        <v>4114245.7575488696</v>
      </c>
      <c r="G89" s="92">
        <f t="shared" si="35"/>
        <v>4008504.7863590196</v>
      </c>
      <c r="H89" s="92">
        <f t="shared" si="35"/>
        <v>3908499.0651323711</v>
      </c>
      <c r="I89" s="92">
        <f t="shared" si="35"/>
        <v>3814189.7780725458</v>
      </c>
      <c r="J89" s="92">
        <f t="shared" si="35"/>
        <v>3724933.8325473894</v>
      </c>
      <c r="K89" s="92">
        <f t="shared" si="35"/>
        <v>3641909.3594996515</v>
      </c>
      <c r="L89" s="92">
        <f t="shared" si="35"/>
        <v>3568100.9409520975</v>
      </c>
      <c r="M89" s="92">
        <f t="shared" si="35"/>
        <v>3498854.9460188383</v>
      </c>
      <c r="N89" s="92">
        <f t="shared" si="35"/>
        <v>3434414.3785489281</v>
      </c>
      <c r="O89" s="92">
        <f t="shared" si="35"/>
        <v>3371240.3839939171</v>
      </c>
      <c r="P89" s="92">
        <f t="shared" si="35"/>
        <v>3314000.5645804475</v>
      </c>
      <c r="Q89" s="92">
        <f t="shared" si="35"/>
        <v>3261323.9398648976</v>
      </c>
      <c r="R89" s="92">
        <f t="shared" si="35"/>
        <v>3212423.9309488251</v>
      </c>
      <c r="S89" s="92">
        <f t="shared" si="35"/>
        <v>3168090.4199536303</v>
      </c>
      <c r="T89" s="92">
        <f t="shared" si="35"/>
        <v>3124715.5409856751</v>
      </c>
      <c r="U89" s="92">
        <f t="shared" si="35"/>
        <v>3085199.8862295677</v>
      </c>
      <c r="V89" s="92">
        <f t="shared" si="35"/>
        <v>3050181.4242474129</v>
      </c>
      <c r="W89" s="92">
        <f t="shared" si="35"/>
        <v>3020533.2568021901</v>
      </c>
      <c r="X89" s="92">
        <f t="shared" si="35"/>
        <v>2994854.7594186841</v>
      </c>
      <c r="Y89" s="92">
        <f t="shared" si="35"/>
        <v>2970383.6927796523</v>
      </c>
      <c r="Z89" s="92">
        <f t="shared" si="35"/>
        <v>2948834.9105983549</v>
      </c>
      <c r="AA89" s="92">
        <f t="shared" si="35"/>
        <v>2930099.6015999452</v>
      </c>
      <c r="AB89" s="92">
        <f t="shared" si="35"/>
        <v>2913526.5223762016</v>
      </c>
      <c r="AC89" s="92">
        <f t="shared" si="35"/>
        <v>2899094.1916305521</v>
      </c>
    </row>
    <row r="90" spans="1:29" s="32" customFormat="1" ht="20.399999999999999" x14ac:dyDescent="0.3">
      <c r="A90" s="135" t="s">
        <v>92</v>
      </c>
      <c r="B90" s="92">
        <f t="shared" ref="B90:AC90" si="36">B39*B$23*(1/B69)</f>
        <v>1375246.5366087407</v>
      </c>
      <c r="C90" s="92">
        <f t="shared" si="36"/>
        <v>1345788.6541658223</v>
      </c>
      <c r="D90" s="92">
        <f t="shared" si="36"/>
        <v>1313884.1457629891</v>
      </c>
      <c r="E90" s="92">
        <f t="shared" si="36"/>
        <v>1281185.1148724845</v>
      </c>
      <c r="F90" s="92">
        <f t="shared" si="36"/>
        <v>1249370.4850049168</v>
      </c>
      <c r="G90" s="92">
        <f t="shared" si="36"/>
        <v>1217260.1891583554</v>
      </c>
      <c r="H90" s="92">
        <f t="shared" si="36"/>
        <v>1186891.513149404</v>
      </c>
      <c r="I90" s="92">
        <f t="shared" si="36"/>
        <v>1158252.6698089906</v>
      </c>
      <c r="J90" s="92">
        <f t="shared" si="36"/>
        <v>1131148.3715920623</v>
      </c>
      <c r="K90" s="92">
        <f t="shared" si="36"/>
        <v>1105936.3807991915</v>
      </c>
      <c r="L90" s="92">
        <f t="shared" si="36"/>
        <v>1083523.0236221177</v>
      </c>
      <c r="M90" s="92">
        <f t="shared" si="36"/>
        <v>1062495.1348248387</v>
      </c>
      <c r="N90" s="92">
        <f t="shared" si="36"/>
        <v>1042926.5072371082</v>
      </c>
      <c r="O90" s="92">
        <f t="shared" si="36"/>
        <v>1023742.499069372</v>
      </c>
      <c r="P90" s="92">
        <f t="shared" si="36"/>
        <v>1006360.5182261063</v>
      </c>
      <c r="Q90" s="92">
        <f t="shared" si="36"/>
        <v>990364.23991712718</v>
      </c>
      <c r="R90" s="92">
        <f t="shared" si="36"/>
        <v>975514.80421092955</v>
      </c>
      <c r="S90" s="92">
        <f t="shared" si="36"/>
        <v>962052.07412670704</v>
      </c>
      <c r="T90" s="92">
        <f t="shared" si="36"/>
        <v>948880.45124205225</v>
      </c>
      <c r="U90" s="92">
        <f t="shared" si="36"/>
        <v>936880.75660608197</v>
      </c>
      <c r="V90" s="92">
        <f t="shared" si="36"/>
        <v>926246.72174064</v>
      </c>
      <c r="W90" s="92">
        <f t="shared" si="36"/>
        <v>917243.48092242167</v>
      </c>
      <c r="X90" s="92">
        <f t="shared" si="36"/>
        <v>909445.70737635577</v>
      </c>
      <c r="Y90" s="92">
        <f t="shared" si="36"/>
        <v>902014.59358367603</v>
      </c>
      <c r="Z90" s="92">
        <f t="shared" si="36"/>
        <v>895470.88811938406</v>
      </c>
      <c r="AA90" s="92">
        <f t="shared" si="36"/>
        <v>889781.54833040503</v>
      </c>
      <c r="AB90" s="92">
        <f t="shared" si="36"/>
        <v>884748.81153051835</v>
      </c>
      <c r="AC90" s="92">
        <f t="shared" si="36"/>
        <v>880366.15450757358</v>
      </c>
    </row>
    <row r="91" spans="1:29" s="134" customFormat="1" x14ac:dyDescent="0.85">
      <c r="A91" s="89" t="s">
        <v>51</v>
      </c>
      <c r="B91" s="248"/>
      <c r="C91" s="249"/>
      <c r="D91" s="249"/>
      <c r="E91" s="249"/>
      <c r="F91" s="249"/>
      <c r="G91" s="249"/>
      <c r="H91" s="249"/>
      <c r="I91" s="249"/>
      <c r="J91" s="249"/>
      <c r="K91" s="249"/>
      <c r="L91" s="249"/>
      <c r="M91" s="249"/>
      <c r="N91" s="249"/>
      <c r="O91" s="249"/>
      <c r="P91" s="249"/>
      <c r="Q91" s="249"/>
      <c r="R91" s="249"/>
      <c r="S91" s="249"/>
      <c r="T91" s="249"/>
      <c r="U91" s="249"/>
      <c r="V91" s="249"/>
      <c r="W91" s="249"/>
      <c r="X91" s="249"/>
      <c r="Y91" s="249"/>
      <c r="Z91" s="249"/>
      <c r="AA91" s="249"/>
      <c r="AB91" s="249"/>
      <c r="AC91" s="250"/>
    </row>
    <row r="92" spans="1:29" s="32" customFormat="1" ht="20.399999999999999" x14ac:dyDescent="0.3">
      <c r="A92" s="135" t="s">
        <v>220</v>
      </c>
      <c r="B92" s="92">
        <f t="shared" ref="B92:AB92" si="37">B41*B$23*(B71)</f>
        <v>0</v>
      </c>
      <c r="C92" s="92">
        <f t="shared" si="37"/>
        <v>0</v>
      </c>
      <c r="D92" s="92">
        <f t="shared" si="37"/>
        <v>0</v>
      </c>
      <c r="E92" s="92">
        <f t="shared" si="37"/>
        <v>0</v>
      </c>
      <c r="F92" s="92">
        <f t="shared" si="37"/>
        <v>0</v>
      </c>
      <c r="G92" s="92">
        <f t="shared" si="37"/>
        <v>0</v>
      </c>
      <c r="H92" s="92">
        <f t="shared" si="37"/>
        <v>0</v>
      </c>
      <c r="I92" s="92">
        <f t="shared" si="37"/>
        <v>0</v>
      </c>
      <c r="J92" s="92">
        <f t="shared" si="37"/>
        <v>0</v>
      </c>
      <c r="K92" s="92">
        <f t="shared" si="37"/>
        <v>0</v>
      </c>
      <c r="L92" s="92">
        <f t="shared" si="37"/>
        <v>0</v>
      </c>
      <c r="M92" s="92">
        <f t="shared" si="37"/>
        <v>0</v>
      </c>
      <c r="N92" s="92">
        <f t="shared" si="37"/>
        <v>0</v>
      </c>
      <c r="O92" s="92">
        <f t="shared" si="37"/>
        <v>0</v>
      </c>
      <c r="P92" s="92">
        <f t="shared" si="37"/>
        <v>0</v>
      </c>
      <c r="Q92" s="92">
        <f t="shared" si="37"/>
        <v>0</v>
      </c>
      <c r="R92" s="92">
        <f t="shared" si="37"/>
        <v>0</v>
      </c>
      <c r="S92" s="92">
        <f t="shared" si="37"/>
        <v>0</v>
      </c>
      <c r="T92" s="92">
        <f t="shared" si="37"/>
        <v>0</v>
      </c>
      <c r="U92" s="92">
        <f t="shared" si="37"/>
        <v>0</v>
      </c>
      <c r="V92" s="92">
        <f t="shared" si="37"/>
        <v>0</v>
      </c>
      <c r="W92" s="92">
        <f t="shared" si="37"/>
        <v>0</v>
      </c>
      <c r="X92" s="92">
        <f t="shared" si="37"/>
        <v>0</v>
      </c>
      <c r="Y92" s="92">
        <f t="shared" si="37"/>
        <v>0</v>
      </c>
      <c r="Z92" s="92">
        <f t="shared" si="37"/>
        <v>0</v>
      </c>
      <c r="AA92" s="92">
        <f t="shared" si="37"/>
        <v>0</v>
      </c>
      <c r="AB92" s="92">
        <f t="shared" si="37"/>
        <v>0</v>
      </c>
      <c r="AC92" s="92">
        <f>AC41*AC$23*(AC71)</f>
        <v>0</v>
      </c>
    </row>
    <row r="93" spans="1:29" s="32" customFormat="1" ht="20.399999999999999" x14ac:dyDescent="0.3">
      <c r="A93" s="135" t="s">
        <v>117</v>
      </c>
      <c r="B93" s="92">
        <f t="shared" ref="B93:AC93" si="38">B42*B$23*(1/B72)</f>
        <v>26305425.676279236</v>
      </c>
      <c r="C93" s="92">
        <f t="shared" si="38"/>
        <v>25761602.556577414</v>
      </c>
      <c r="D93" s="92">
        <f t="shared" si="38"/>
        <v>25242719.095868293</v>
      </c>
      <c r="E93" s="92">
        <f t="shared" si="38"/>
        <v>24789273.372931182</v>
      </c>
      <c r="F93" s="92">
        <f t="shared" si="38"/>
        <v>24353588.069986716</v>
      </c>
      <c r="G93" s="92">
        <f t="shared" si="38"/>
        <v>23934639.777479481</v>
      </c>
      <c r="H93" s="92">
        <f t="shared" si="38"/>
        <v>23531482.233335309</v>
      </c>
      <c r="I93" s="92">
        <f t="shared" si="38"/>
        <v>23143239.187934041</v>
      </c>
      <c r="J93" s="92">
        <f t="shared" si="38"/>
        <v>22773862.592466895</v>
      </c>
      <c r="K93" s="92">
        <f t="shared" si="38"/>
        <v>22416867.335395303</v>
      </c>
      <c r="L93" s="92">
        <f t="shared" si="38"/>
        <v>22071641.152732655</v>
      </c>
      <c r="M93" s="92">
        <f t="shared" si="38"/>
        <v>21737611.494913131</v>
      </c>
      <c r="N93" s="92">
        <f t="shared" si="38"/>
        <v>21414242.358087841</v>
      </c>
      <c r="O93" s="92">
        <f t="shared" si="38"/>
        <v>21239815.476673789</v>
      </c>
      <c r="P93" s="92">
        <f t="shared" si="38"/>
        <v>21068236.083068505</v>
      </c>
      <c r="Q93" s="92">
        <f t="shared" si="38"/>
        <v>20899435.014707401</v>
      </c>
      <c r="R93" s="92">
        <f t="shared" si="38"/>
        <v>20733345.330887515</v>
      </c>
      <c r="S93" s="92">
        <f t="shared" si="38"/>
        <v>20569902.22425618</v>
      </c>
      <c r="T93" s="92">
        <f t="shared" si="38"/>
        <v>20387129.088106416</v>
      </c>
      <c r="U93" s="92">
        <f t="shared" si="38"/>
        <v>20207367.283514686</v>
      </c>
      <c r="V93" s="92">
        <f t="shared" si="38"/>
        <v>20030542.997451548</v>
      </c>
      <c r="W93" s="92">
        <f t="shared" si="38"/>
        <v>19856584.809719544</v>
      </c>
      <c r="X93" s="92">
        <f t="shared" si="38"/>
        <v>19685423.596770674</v>
      </c>
      <c r="Y93" s="92">
        <f t="shared" si="38"/>
        <v>19508059.848875761</v>
      </c>
      <c r="Z93" s="92">
        <f t="shared" si="38"/>
        <v>19333435.309442546</v>
      </c>
      <c r="AA93" s="92">
        <f t="shared" si="38"/>
        <v>19161487.008161567</v>
      </c>
      <c r="AB93" s="92">
        <f t="shared" si="38"/>
        <v>18992153.89017003</v>
      </c>
      <c r="AC93" s="92">
        <f t="shared" si="38"/>
        <v>18825376.743770819</v>
      </c>
    </row>
    <row r="94" spans="1:29" s="32" customFormat="1" ht="20.399999999999999" x14ac:dyDescent="0.3">
      <c r="A94" s="135" t="s">
        <v>221</v>
      </c>
      <c r="B94" s="92">
        <f t="shared" ref="B94:AC94" si="39">B43*B$23*(1/B73)</f>
        <v>2922825.0751421377</v>
      </c>
      <c r="C94" s="92">
        <f t="shared" si="39"/>
        <v>2862400.2840641579</v>
      </c>
      <c r="D94" s="92">
        <f t="shared" si="39"/>
        <v>2804746.5662075887</v>
      </c>
      <c r="E94" s="92">
        <f t="shared" si="39"/>
        <v>2754363.7081034654</v>
      </c>
      <c r="F94" s="92">
        <f t="shared" si="39"/>
        <v>2705954.2299985243</v>
      </c>
      <c r="G94" s="92">
        <f t="shared" si="39"/>
        <v>2659404.4197199428</v>
      </c>
      <c r="H94" s="92">
        <f t="shared" si="39"/>
        <v>2614609.1370372572</v>
      </c>
      <c r="I94" s="92">
        <f t="shared" si="39"/>
        <v>2571471.0208815606</v>
      </c>
      <c r="J94" s="92">
        <f t="shared" si="39"/>
        <v>2530429.1769407666</v>
      </c>
      <c r="K94" s="92">
        <f t="shared" si="39"/>
        <v>2490763.037266145</v>
      </c>
      <c r="L94" s="92">
        <f t="shared" si="39"/>
        <v>2452404.572525851</v>
      </c>
      <c r="M94" s="92">
        <f t="shared" si="39"/>
        <v>2415290.1661014594</v>
      </c>
      <c r="N94" s="92">
        <f t="shared" si="39"/>
        <v>2379360.2620097604</v>
      </c>
      <c r="O94" s="92">
        <f t="shared" si="39"/>
        <v>2359979.4974081991</v>
      </c>
      <c r="P94" s="92">
        <f t="shared" si="39"/>
        <v>2340915.1203409452</v>
      </c>
      <c r="Q94" s="92">
        <f t="shared" si="39"/>
        <v>2322159.4460786004</v>
      </c>
      <c r="R94" s="92">
        <f t="shared" si="39"/>
        <v>2303705.0367652802</v>
      </c>
      <c r="S94" s="92">
        <f t="shared" si="39"/>
        <v>2285544.6915840204</v>
      </c>
      <c r="T94" s="92">
        <f t="shared" si="39"/>
        <v>2265236.5653451579</v>
      </c>
      <c r="U94" s="92">
        <f t="shared" si="39"/>
        <v>2245263.0315016322</v>
      </c>
      <c r="V94" s="92">
        <f t="shared" si="39"/>
        <v>2225615.8886057278</v>
      </c>
      <c r="W94" s="92">
        <f t="shared" si="39"/>
        <v>2206287.2010799493</v>
      </c>
      <c r="X94" s="92">
        <f t="shared" si="39"/>
        <v>2187269.288530075</v>
      </c>
      <c r="Y94" s="92">
        <f t="shared" si="39"/>
        <v>2167562.2054306404</v>
      </c>
      <c r="Z94" s="92">
        <f t="shared" si="39"/>
        <v>2148159.4788269498</v>
      </c>
      <c r="AA94" s="92">
        <f t="shared" si="39"/>
        <v>2129054.1120179519</v>
      </c>
      <c r="AB94" s="92">
        <f t="shared" si="39"/>
        <v>2110239.3211300038</v>
      </c>
      <c r="AC94" s="92">
        <f t="shared" si="39"/>
        <v>2091708.527085647</v>
      </c>
    </row>
    <row r="95" spans="1:29" s="32" customFormat="1" ht="20.399999999999999" x14ac:dyDescent="0.3">
      <c r="A95" s="135" t="s">
        <v>92</v>
      </c>
      <c r="B95" s="92">
        <f>B44*B$23*(1/B74)</f>
        <v>31357167.346365571</v>
      </c>
      <c r="C95" s="92">
        <f t="shared" ref="C95:AC95" si="40">C44*C$23*(1/C74)</f>
        <v>30708907.448154159</v>
      </c>
      <c r="D95" s="92">
        <f t="shared" si="40"/>
        <v>30090376.666293845</v>
      </c>
      <c r="E95" s="92">
        <f t="shared" si="40"/>
        <v>29549850.404084209</v>
      </c>
      <c r="F95" s="92">
        <f t="shared" si="40"/>
        <v>29030495.30514349</v>
      </c>
      <c r="G95" s="92">
        <f t="shared" si="40"/>
        <v>28531091.422488607</v>
      </c>
      <c r="H95" s="92">
        <f t="shared" si="40"/>
        <v>28050510.772159941</v>
      </c>
      <c r="I95" s="92">
        <f t="shared" si="40"/>
        <v>27587708.827970609</v>
      </c>
      <c r="J95" s="92">
        <f t="shared" si="40"/>
        <v>27147396.48098819</v>
      </c>
      <c r="K95" s="92">
        <f t="shared" si="40"/>
        <v>26721843.207088981</v>
      </c>
      <c r="L95" s="92">
        <f t="shared" si="40"/>
        <v>26310319.161999643</v>
      </c>
      <c r="M95" s="92">
        <f t="shared" si="40"/>
        <v>25912141.842696987</v>
      </c>
      <c r="N95" s="92">
        <f t="shared" si="40"/>
        <v>25526672.310180571</v>
      </c>
      <c r="O95" s="92">
        <f t="shared" si="40"/>
        <v>25318748.174015116</v>
      </c>
      <c r="P95" s="92">
        <f t="shared" si="40"/>
        <v>25114218.362383123</v>
      </c>
      <c r="Q95" s="92">
        <f t="shared" si="40"/>
        <v>24913000.430615634</v>
      </c>
      <c r="R95" s="92">
        <f t="shared" si="40"/>
        <v>24715014.582595635</v>
      </c>
      <c r="S95" s="92">
        <f t="shared" si="40"/>
        <v>24520183.565248895</v>
      </c>
      <c r="T95" s="92">
        <f t="shared" si="40"/>
        <v>24302310.344446529</v>
      </c>
      <c r="U95" s="92">
        <f t="shared" si="40"/>
        <v>24088026.756777741</v>
      </c>
      <c r="V95" s="92">
        <f t="shared" si="40"/>
        <v>23877244.814025018</v>
      </c>
      <c r="W95" s="92">
        <f t="shared" si="40"/>
        <v>23669879.38032661</v>
      </c>
      <c r="X95" s="92">
        <f t="shared" si="40"/>
        <v>23465848.057522945</v>
      </c>
      <c r="Y95" s="92">
        <f t="shared" si="40"/>
        <v>23254423.053709585</v>
      </c>
      <c r="Z95" s="92">
        <f t="shared" si="40"/>
        <v>23046263.300920375</v>
      </c>
      <c r="AA95" s="92">
        <f t="shared" si="40"/>
        <v>22841293.735913374</v>
      </c>
      <c r="AB95" s="92">
        <f t="shared" si="40"/>
        <v>22639441.578739181</v>
      </c>
      <c r="AC95" s="92">
        <f t="shared" si="40"/>
        <v>22440636.246578932</v>
      </c>
    </row>
    <row r="96" spans="1:29" s="134" customFormat="1" x14ac:dyDescent="0.85">
      <c r="A96" s="89" t="s">
        <v>203</v>
      </c>
      <c r="B96" s="248"/>
      <c r="C96" s="249"/>
      <c r="D96" s="249"/>
      <c r="E96" s="249"/>
      <c r="F96" s="249"/>
      <c r="G96" s="249"/>
      <c r="H96" s="249"/>
      <c r="I96" s="249"/>
      <c r="J96" s="249"/>
      <c r="K96" s="249"/>
      <c r="L96" s="249"/>
      <c r="M96" s="249"/>
      <c r="N96" s="249"/>
      <c r="O96" s="249"/>
      <c r="P96" s="249"/>
      <c r="Q96" s="249"/>
      <c r="R96" s="249"/>
      <c r="S96" s="249"/>
      <c r="T96" s="249"/>
      <c r="U96" s="249"/>
      <c r="V96" s="249"/>
      <c r="W96" s="249"/>
      <c r="X96" s="249"/>
      <c r="Y96" s="249"/>
      <c r="Z96" s="249"/>
      <c r="AA96" s="249"/>
      <c r="AB96" s="249"/>
      <c r="AC96" s="250"/>
    </row>
    <row r="97" spans="1:29" s="32" customFormat="1" ht="20.399999999999999" x14ac:dyDescent="0.3">
      <c r="A97" s="135" t="s">
        <v>220</v>
      </c>
      <c r="B97" s="92">
        <f>B46*B$23*B76</f>
        <v>0</v>
      </c>
      <c r="C97" s="92">
        <f t="shared" ref="C97:AB97" si="41">C46*C$23*C76</f>
        <v>0</v>
      </c>
      <c r="D97" s="92">
        <f t="shared" si="41"/>
        <v>0</v>
      </c>
      <c r="E97" s="92">
        <f t="shared" si="41"/>
        <v>0</v>
      </c>
      <c r="F97" s="92">
        <f t="shared" si="41"/>
        <v>0</v>
      </c>
      <c r="G97" s="92">
        <f t="shared" si="41"/>
        <v>0</v>
      </c>
      <c r="H97" s="92">
        <f t="shared" si="41"/>
        <v>0</v>
      </c>
      <c r="I97" s="92">
        <f t="shared" si="41"/>
        <v>0</v>
      </c>
      <c r="J97" s="92">
        <f t="shared" si="41"/>
        <v>0</v>
      </c>
      <c r="K97" s="92">
        <f t="shared" si="41"/>
        <v>0</v>
      </c>
      <c r="L97" s="92">
        <f t="shared" si="41"/>
        <v>0</v>
      </c>
      <c r="M97" s="92">
        <f t="shared" si="41"/>
        <v>0</v>
      </c>
      <c r="N97" s="92">
        <f t="shared" si="41"/>
        <v>0</v>
      </c>
      <c r="O97" s="92">
        <f t="shared" si="41"/>
        <v>0</v>
      </c>
      <c r="P97" s="92">
        <f t="shared" si="41"/>
        <v>0</v>
      </c>
      <c r="Q97" s="92">
        <f t="shared" si="41"/>
        <v>0</v>
      </c>
      <c r="R97" s="92">
        <f t="shared" si="41"/>
        <v>0</v>
      </c>
      <c r="S97" s="92">
        <f t="shared" si="41"/>
        <v>0</v>
      </c>
      <c r="T97" s="92">
        <f t="shared" si="41"/>
        <v>0</v>
      </c>
      <c r="U97" s="92">
        <f t="shared" si="41"/>
        <v>0</v>
      </c>
      <c r="V97" s="92">
        <f t="shared" si="41"/>
        <v>0</v>
      </c>
      <c r="W97" s="92">
        <f t="shared" si="41"/>
        <v>0</v>
      </c>
      <c r="X97" s="92">
        <f t="shared" si="41"/>
        <v>0</v>
      </c>
      <c r="Y97" s="92">
        <f t="shared" si="41"/>
        <v>0</v>
      </c>
      <c r="Z97" s="92">
        <f t="shared" si="41"/>
        <v>0</v>
      </c>
      <c r="AA97" s="92">
        <f t="shared" si="41"/>
        <v>0</v>
      </c>
      <c r="AB97" s="92">
        <f t="shared" si="41"/>
        <v>0</v>
      </c>
      <c r="AC97" s="92">
        <f>AC46*AC$23*AC76</f>
        <v>0</v>
      </c>
    </row>
    <row r="98" spans="1:29" s="32" customFormat="1" ht="20.399999999999999" x14ac:dyDescent="0.3">
      <c r="A98" s="135" t="s">
        <v>117</v>
      </c>
      <c r="B98" s="92">
        <f t="shared" ref="B98:AC98" si="42">B47*B$23*(1/B78)</f>
        <v>443768.56161482737</v>
      </c>
      <c r="C98" s="92">
        <f t="shared" si="42"/>
        <v>445038.53757967078</v>
      </c>
      <c r="D98" s="92">
        <f t="shared" si="42"/>
        <v>446308.51354451425</v>
      </c>
      <c r="E98" s="92">
        <f t="shared" si="42"/>
        <v>447224.60899783566</v>
      </c>
      <c r="F98" s="92">
        <f t="shared" si="42"/>
        <v>448140.70445115719</v>
      </c>
      <c r="G98" s="92">
        <f t="shared" si="42"/>
        <v>449056.7999044786</v>
      </c>
      <c r="H98" s="92">
        <f t="shared" si="42"/>
        <v>449972.89535780007</v>
      </c>
      <c r="I98" s="92">
        <f t="shared" si="42"/>
        <v>450888.99081112153</v>
      </c>
      <c r="J98" s="92">
        <f t="shared" si="42"/>
        <v>451386.6892841899</v>
      </c>
      <c r="K98" s="92">
        <f t="shared" si="42"/>
        <v>451884.3877572582</v>
      </c>
      <c r="L98" s="92">
        <f t="shared" si="42"/>
        <v>452382.08623032662</v>
      </c>
      <c r="M98" s="92">
        <f t="shared" si="42"/>
        <v>452879.78470339498</v>
      </c>
      <c r="N98" s="92">
        <f t="shared" si="42"/>
        <v>453377.48317646334</v>
      </c>
      <c r="O98" s="92">
        <f t="shared" si="42"/>
        <v>453415.98184307228</v>
      </c>
      <c r="P98" s="92">
        <f t="shared" si="42"/>
        <v>453454.4805096811</v>
      </c>
      <c r="Q98" s="92">
        <f t="shared" si="42"/>
        <v>453492.97917629004</v>
      </c>
      <c r="R98" s="92">
        <f t="shared" si="42"/>
        <v>453531.47784289881</v>
      </c>
      <c r="S98" s="92">
        <f t="shared" si="42"/>
        <v>453569.97650950775</v>
      </c>
      <c r="T98" s="92">
        <f t="shared" si="42"/>
        <v>453305.09416244068</v>
      </c>
      <c r="U98" s="92">
        <f t="shared" si="42"/>
        <v>453040.21181537362</v>
      </c>
      <c r="V98" s="92">
        <f t="shared" si="42"/>
        <v>452775.32946830656</v>
      </c>
      <c r="W98" s="92">
        <f t="shared" si="42"/>
        <v>452510.44712123956</v>
      </c>
      <c r="X98" s="92">
        <f t="shared" si="42"/>
        <v>452245.56477417244</v>
      </c>
      <c r="Y98" s="92">
        <f t="shared" si="42"/>
        <v>451685.94201192021</v>
      </c>
      <c r="Z98" s="92">
        <f t="shared" si="42"/>
        <v>451126.31924966798</v>
      </c>
      <c r="AA98" s="92">
        <f t="shared" si="42"/>
        <v>450566.69648741576</v>
      </c>
      <c r="AB98" s="92">
        <f t="shared" si="42"/>
        <v>450007.07372516359</v>
      </c>
      <c r="AC98" s="92">
        <f t="shared" si="42"/>
        <v>449447.45096291136</v>
      </c>
    </row>
    <row r="99" spans="1:29" s="32" customFormat="1" ht="20.399999999999999" x14ac:dyDescent="0.3">
      <c r="A99" s="135" t="s">
        <v>221</v>
      </c>
      <c r="B99" s="92">
        <f t="shared" ref="B99:AC99" si="43">B48*B$23*(1/B78)</f>
        <v>49307.617957203045</v>
      </c>
      <c r="C99" s="92">
        <f t="shared" si="43"/>
        <v>49448.726397741208</v>
      </c>
      <c r="D99" s="92">
        <f t="shared" si="43"/>
        <v>49589.834838279363</v>
      </c>
      <c r="E99" s="92">
        <f t="shared" si="43"/>
        <v>49691.623221981747</v>
      </c>
      <c r="F99" s="92">
        <f t="shared" si="43"/>
        <v>49793.411605684138</v>
      </c>
      <c r="G99" s="92">
        <f t="shared" si="43"/>
        <v>49895.199989386507</v>
      </c>
      <c r="H99" s="92">
        <f t="shared" si="43"/>
        <v>49996.988373088905</v>
      </c>
      <c r="I99" s="92">
        <f t="shared" si="43"/>
        <v>50098.776756791289</v>
      </c>
      <c r="J99" s="92">
        <f t="shared" si="43"/>
        <v>50154.076587132207</v>
      </c>
      <c r="K99" s="92">
        <f t="shared" si="43"/>
        <v>50209.376417473148</v>
      </c>
      <c r="L99" s="92">
        <f t="shared" si="43"/>
        <v>50264.676247814074</v>
      </c>
      <c r="M99" s="92">
        <f t="shared" si="43"/>
        <v>50319.976078155014</v>
      </c>
      <c r="N99" s="92">
        <f t="shared" si="43"/>
        <v>50375.275908495933</v>
      </c>
      <c r="O99" s="92">
        <f t="shared" si="43"/>
        <v>50379.553538119144</v>
      </c>
      <c r="P99" s="92">
        <f t="shared" si="43"/>
        <v>50383.831167742348</v>
      </c>
      <c r="Q99" s="92">
        <f t="shared" si="43"/>
        <v>50388.108797365567</v>
      </c>
      <c r="R99" s="92">
        <f t="shared" si="43"/>
        <v>50392.386426988764</v>
      </c>
      <c r="S99" s="92">
        <f t="shared" si="43"/>
        <v>50396.664056611975</v>
      </c>
      <c r="T99" s="92">
        <f t="shared" si="43"/>
        <v>50367.232684715636</v>
      </c>
      <c r="U99" s="92">
        <f t="shared" si="43"/>
        <v>50337.801312819291</v>
      </c>
      <c r="V99" s="92">
        <f t="shared" si="43"/>
        <v>50308.369940922952</v>
      </c>
      <c r="W99" s="92">
        <f t="shared" si="43"/>
        <v>50278.938569026621</v>
      </c>
      <c r="X99" s="92">
        <f t="shared" si="43"/>
        <v>50249.507197130275</v>
      </c>
      <c r="Y99" s="92">
        <f t="shared" si="43"/>
        <v>50187.326890213357</v>
      </c>
      <c r="Z99" s="92">
        <f t="shared" si="43"/>
        <v>50125.146583296453</v>
      </c>
      <c r="AA99" s="92">
        <f t="shared" si="43"/>
        <v>50062.966276379535</v>
      </c>
      <c r="AB99" s="92">
        <f t="shared" si="43"/>
        <v>50000.785969462631</v>
      </c>
      <c r="AC99" s="92">
        <f t="shared" si="43"/>
        <v>49938.605662545713</v>
      </c>
    </row>
    <row r="100" spans="1:29" s="134" customFormat="1" x14ac:dyDescent="0.85">
      <c r="A100" s="89" t="s">
        <v>645</v>
      </c>
      <c r="B100" s="248"/>
      <c r="C100" s="249"/>
      <c r="D100" s="249"/>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c r="AA100" s="249"/>
      <c r="AB100" s="249"/>
      <c r="AC100" s="250"/>
    </row>
    <row r="101" spans="1:29" s="32" customFormat="1" ht="20.399999999999999" x14ac:dyDescent="0.3">
      <c r="A101" s="135" t="s">
        <v>220</v>
      </c>
      <c r="B101" s="92">
        <f>SUM(B82,B87,B92,B97)</f>
        <v>18625383.91419442</v>
      </c>
      <c r="C101" s="92">
        <f t="shared" ref="C101:AC103" si="44">SUM(C82,C87,C92,C97)</f>
        <v>21452374.204514906</v>
      </c>
      <c r="D101" s="92">
        <f t="shared" si="44"/>
        <v>24575787.430515725</v>
      </c>
      <c r="E101" s="92">
        <f t="shared" si="44"/>
        <v>28039529.145642295</v>
      </c>
      <c r="F101" s="92">
        <f t="shared" si="44"/>
        <v>31449131.76633415</v>
      </c>
      <c r="G101" s="92">
        <f t="shared" si="44"/>
        <v>34705510.71977298</v>
      </c>
      <c r="H101" s="92">
        <f t="shared" si="44"/>
        <v>37856403.00830318</v>
      </c>
      <c r="I101" s="92">
        <f t="shared" si="44"/>
        <v>41015439.221207723</v>
      </c>
      <c r="J101" s="92">
        <f t="shared" si="44"/>
        <v>43542383.67517104</v>
      </c>
      <c r="K101" s="92">
        <f t="shared" si="44"/>
        <v>45844904.639337823</v>
      </c>
      <c r="L101" s="92">
        <f t="shared" si="44"/>
        <v>47947817.317956246</v>
      </c>
      <c r="M101" s="92">
        <f t="shared" si="44"/>
        <v>49802472.773587525</v>
      </c>
      <c r="N101" s="92">
        <f t="shared" si="44"/>
        <v>51337736.217819706</v>
      </c>
      <c r="O101" s="92">
        <f t="shared" si="44"/>
        <v>53308309.851505697</v>
      </c>
      <c r="P101" s="92">
        <f t="shared" si="44"/>
        <v>54933565.776656084</v>
      </c>
      <c r="Q101" s="92">
        <f t="shared" si="44"/>
        <v>56209099.412118942</v>
      </c>
      <c r="R101" s="92">
        <f t="shared" si="44"/>
        <v>57237606.499520794</v>
      </c>
      <c r="S101" s="92">
        <f t="shared" si="44"/>
        <v>58056256.914237157</v>
      </c>
      <c r="T101" s="92">
        <f t="shared" si="44"/>
        <v>58854837.110631183</v>
      </c>
      <c r="U101" s="92">
        <f t="shared" si="44"/>
        <v>59527581.069165364</v>
      </c>
      <c r="V101" s="92">
        <f t="shared" si="44"/>
        <v>60127969.369865842</v>
      </c>
      <c r="W101" s="92">
        <f t="shared" si="44"/>
        <v>60676887.115539677</v>
      </c>
      <c r="X101" s="92">
        <f t="shared" si="44"/>
        <v>61157455.740465075</v>
      </c>
      <c r="Y101" s="92">
        <f t="shared" si="44"/>
        <v>61609572.355136395</v>
      </c>
      <c r="Z101" s="92">
        <f t="shared" si="44"/>
        <v>62080759.7040236</v>
      </c>
      <c r="AA101" s="92">
        <f t="shared" si="44"/>
        <v>62515957.366877601</v>
      </c>
      <c r="AB101" s="92">
        <f t="shared" si="44"/>
        <v>62921418.089792766</v>
      </c>
      <c r="AC101" s="92">
        <f t="shared" si="44"/>
        <v>63353846.141120002</v>
      </c>
    </row>
    <row r="102" spans="1:29" s="32" customFormat="1" ht="20.399999999999999" x14ac:dyDescent="0.3">
      <c r="A102" s="135" t="s">
        <v>117</v>
      </c>
      <c r="B102" s="92">
        <f t="shared" ref="B102:Q103" si="45">SUM(B83,B88,B93,B98)</f>
        <v>160478820.12120518</v>
      </c>
      <c r="C102" s="92">
        <f t="shared" si="45"/>
        <v>157183237.83764282</v>
      </c>
      <c r="D102" s="92">
        <f t="shared" si="45"/>
        <v>153744542.02513599</v>
      </c>
      <c r="E102" s="92">
        <f t="shared" si="45"/>
        <v>150187324.51404953</v>
      </c>
      <c r="F102" s="92">
        <f t="shared" si="45"/>
        <v>146634773.19559371</v>
      </c>
      <c r="G102" s="92">
        <f t="shared" si="45"/>
        <v>143049334.94633257</v>
      </c>
      <c r="H102" s="92">
        <f t="shared" si="45"/>
        <v>139462738.00067776</v>
      </c>
      <c r="I102" s="92">
        <f t="shared" si="45"/>
        <v>135913827.53336355</v>
      </c>
      <c r="J102" s="92">
        <f t="shared" si="45"/>
        <v>132481428.58859634</v>
      </c>
      <c r="K102" s="92">
        <f t="shared" si="45"/>
        <v>129179860.06799461</v>
      </c>
      <c r="L102" s="92">
        <f t="shared" si="45"/>
        <v>126095626.93292858</v>
      </c>
      <c r="M102" s="92">
        <f t="shared" si="45"/>
        <v>123179750.1821969</v>
      </c>
      <c r="N102" s="92">
        <f t="shared" si="45"/>
        <v>120349614.24377587</v>
      </c>
      <c r="O102" s="92">
        <f t="shared" si="45"/>
        <v>117728225.47072749</v>
      </c>
      <c r="P102" s="92">
        <f t="shared" si="45"/>
        <v>115339454.56854954</v>
      </c>
      <c r="Q102" s="92">
        <f t="shared" si="45"/>
        <v>113221310.00558637</v>
      </c>
      <c r="R102" s="92">
        <f t="shared" si="44"/>
        <v>111261782.50178479</v>
      </c>
      <c r="S102" s="92">
        <f t="shared" si="44"/>
        <v>109556127.84638822</v>
      </c>
      <c r="T102" s="92">
        <f t="shared" si="44"/>
        <v>107926871.37737182</v>
      </c>
      <c r="U102" s="92">
        <f t="shared" si="44"/>
        <v>106502879.17343168</v>
      </c>
      <c r="V102" s="92">
        <f t="shared" si="44"/>
        <v>105299889.54697815</v>
      </c>
      <c r="W102" s="92">
        <f t="shared" si="44"/>
        <v>104253593.76954034</v>
      </c>
      <c r="X102" s="92">
        <f t="shared" si="44"/>
        <v>103338868.49387221</v>
      </c>
      <c r="Y102" s="92">
        <f t="shared" si="44"/>
        <v>102457809.64735726</v>
      </c>
      <c r="Z102" s="92">
        <f t="shared" si="44"/>
        <v>101684337.65363653</v>
      </c>
      <c r="AA102" s="92">
        <f t="shared" si="44"/>
        <v>100977533.08345766</v>
      </c>
      <c r="AB102" s="92">
        <f t="shared" si="44"/>
        <v>100300603.34584767</v>
      </c>
      <c r="AC102" s="92">
        <f t="shared" si="44"/>
        <v>99691315.872806996</v>
      </c>
    </row>
    <row r="103" spans="1:29" s="32" customFormat="1" ht="20.399999999999999" x14ac:dyDescent="0.3">
      <c r="A103" s="135" t="s">
        <v>221</v>
      </c>
      <c r="B103" s="92">
        <f t="shared" si="45"/>
        <v>18061879.391322751</v>
      </c>
      <c r="C103" s="92">
        <f t="shared" si="44"/>
        <v>17690934.970307101</v>
      </c>
      <c r="D103" s="92">
        <f t="shared" si="44"/>
        <v>17303789.360807266</v>
      </c>
      <c r="E103" s="92">
        <f t="shared" si="44"/>
        <v>16903172.153909009</v>
      </c>
      <c r="F103" s="92">
        <f t="shared" si="44"/>
        <v>16503064.311717151</v>
      </c>
      <c r="G103" s="92">
        <f t="shared" si="44"/>
        <v>16099219.52997791</v>
      </c>
      <c r="H103" s="92">
        <f t="shared" si="44"/>
        <v>15695242.134439627</v>
      </c>
      <c r="I103" s="92">
        <f t="shared" si="44"/>
        <v>15295511.268490003</v>
      </c>
      <c r="J103" s="92">
        <f t="shared" si="44"/>
        <v>14908902.418138007</v>
      </c>
      <c r="K103" s="92">
        <f t="shared" si="44"/>
        <v>14537043.733862052</v>
      </c>
      <c r="L103" s="92">
        <f t="shared" si="44"/>
        <v>14189697.434082745</v>
      </c>
      <c r="M103" s="92">
        <f t="shared" si="44"/>
        <v>13861325.695267109</v>
      </c>
      <c r="N103" s="92">
        <f t="shared" si="44"/>
        <v>13542619.456147447</v>
      </c>
      <c r="O103" s="92">
        <f t="shared" si="44"/>
        <v>13247208.282798881</v>
      </c>
      <c r="P103" s="92">
        <f t="shared" si="44"/>
        <v>12978032.82976375</v>
      </c>
      <c r="Q103" s="92">
        <f t="shared" si="44"/>
        <v>12739371.296817698</v>
      </c>
      <c r="R103" s="92">
        <f t="shared" si="44"/>
        <v>12518597.020099111</v>
      </c>
      <c r="S103" s="92">
        <f t="shared" si="44"/>
        <v>12326448.744179567</v>
      </c>
      <c r="T103" s="92">
        <f t="shared" si="44"/>
        <v>12142945.733567001</v>
      </c>
      <c r="U103" s="92">
        <f t="shared" si="44"/>
        <v>11982587.040752867</v>
      </c>
      <c r="V103" s="92">
        <f t="shared" si="44"/>
        <v>11847149.081078256</v>
      </c>
      <c r="W103" s="92">
        <f t="shared" si="44"/>
        <v>11729387.797814382</v>
      </c>
      <c r="X103" s="92">
        <f t="shared" si="44"/>
        <v>11626466.2264634</v>
      </c>
      <c r="Y103" s="92">
        <f t="shared" si="44"/>
        <v>11527354.101960093</v>
      </c>
      <c r="Z103" s="92">
        <f t="shared" si="44"/>
        <v>11440374.574241526</v>
      </c>
      <c r="AA103" s="92">
        <f t="shared" si="44"/>
        <v>11360915.627932053</v>
      </c>
      <c r="AB103" s="92">
        <f t="shared" si="44"/>
        <v>11284828.161772087</v>
      </c>
      <c r="AC103" s="92">
        <f t="shared" si="44"/>
        <v>11216368.626454588</v>
      </c>
    </row>
    <row r="104" spans="1:29" s="32" customFormat="1" ht="20.399999999999999" x14ac:dyDescent="0.3">
      <c r="A104" s="135" t="s">
        <v>92</v>
      </c>
      <c r="B104" s="92">
        <f>SUM(B85,B90,B95)</f>
        <v>35585728.622127756</v>
      </c>
      <c r="C104" s="92">
        <f t="shared" ref="C104:AC104" si="46">SUM(C85,C90,C95)</f>
        <v>34850286.771157093</v>
      </c>
      <c r="D104" s="92">
        <f t="shared" si="46"/>
        <v>34139178.344814822</v>
      </c>
      <c r="E104" s="92">
        <f t="shared" si="46"/>
        <v>33500393.33169841</v>
      </c>
      <c r="F104" s="92">
        <f t="shared" si="46"/>
        <v>32882481.48959402</v>
      </c>
      <c r="G104" s="92">
        <f t="shared" si="46"/>
        <v>32282976.188391056</v>
      </c>
      <c r="H104" s="92">
        <f t="shared" si="46"/>
        <v>31701976.359160896</v>
      </c>
      <c r="I104" s="92">
        <f t="shared" si="46"/>
        <v>31139645.615555823</v>
      </c>
      <c r="J104" s="92">
        <f t="shared" si="46"/>
        <v>30602965.168473739</v>
      </c>
      <c r="K104" s="92">
        <f t="shared" si="46"/>
        <v>30084865.959609546</v>
      </c>
      <c r="L104" s="92">
        <f t="shared" si="46"/>
        <v>29587373.999164261</v>
      </c>
      <c r="M104" s="92">
        <f t="shared" si="46"/>
        <v>29108171.919684932</v>
      </c>
      <c r="N104" s="92">
        <f t="shared" si="46"/>
        <v>28644129.935591243</v>
      </c>
      <c r="O104" s="92">
        <f t="shared" si="46"/>
        <v>28359512.136926819</v>
      </c>
      <c r="P104" s="92">
        <f t="shared" si="46"/>
        <v>28085490.181673501</v>
      </c>
      <c r="Q104" s="92">
        <f t="shared" si="46"/>
        <v>27823093.64430926</v>
      </c>
      <c r="R104" s="92">
        <f t="shared" si="46"/>
        <v>27568806.982412897</v>
      </c>
      <c r="S104" s="92">
        <f t="shared" si="46"/>
        <v>27325482.686113894</v>
      </c>
      <c r="T104" s="92">
        <f t="shared" si="46"/>
        <v>27062073.414566234</v>
      </c>
      <c r="U104" s="92">
        <f t="shared" si="46"/>
        <v>26808545.65756638</v>
      </c>
      <c r="V104" s="92">
        <f t="shared" si="46"/>
        <v>26565314.954194449</v>
      </c>
      <c r="W104" s="92">
        <f t="shared" si="46"/>
        <v>26330370.392920002</v>
      </c>
      <c r="X104" s="92">
        <f t="shared" si="46"/>
        <v>26102818.260579731</v>
      </c>
      <c r="Y104" s="92">
        <f t="shared" si="46"/>
        <v>25869137.151544772</v>
      </c>
      <c r="Z104" s="92">
        <f t="shared" si="46"/>
        <v>25642014.869186912</v>
      </c>
      <c r="AA104" s="92">
        <f t="shared" si="46"/>
        <v>25420128.544419549</v>
      </c>
      <c r="AB104" s="92">
        <f t="shared" si="46"/>
        <v>25202264.433417656</v>
      </c>
      <c r="AC104" s="92">
        <f t="shared" si="46"/>
        <v>24989502.99826828</v>
      </c>
    </row>
    <row r="105" spans="1:29" s="237" customFormat="1" x14ac:dyDescent="0.85">
      <c r="A105" s="201" t="s">
        <v>135</v>
      </c>
      <c r="B105" s="201"/>
      <c r="C105" s="202"/>
      <c r="D105" s="202"/>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3"/>
    </row>
    <row r="106" spans="1:29" s="132" customFormat="1" x14ac:dyDescent="0.7">
      <c r="A106" s="256"/>
      <c r="B106" s="2">
        <v>2023</v>
      </c>
      <c r="C106" s="2">
        <v>2024</v>
      </c>
      <c r="D106" s="2">
        <v>2025</v>
      </c>
      <c r="E106" s="2">
        <v>2026</v>
      </c>
      <c r="F106" s="2">
        <v>2027</v>
      </c>
      <c r="G106" s="2">
        <v>2028</v>
      </c>
      <c r="H106" s="2">
        <v>2029</v>
      </c>
      <c r="I106" s="2">
        <v>2030</v>
      </c>
      <c r="J106" s="2">
        <v>2031</v>
      </c>
      <c r="K106" s="2">
        <v>2032</v>
      </c>
      <c r="L106" s="2">
        <v>2033</v>
      </c>
      <c r="M106" s="2">
        <v>2034</v>
      </c>
      <c r="N106" s="2">
        <v>2035</v>
      </c>
      <c r="O106" s="2">
        <v>2036</v>
      </c>
      <c r="P106" s="2">
        <v>2037</v>
      </c>
      <c r="Q106" s="2">
        <v>2038</v>
      </c>
      <c r="R106" s="2">
        <v>2039</v>
      </c>
      <c r="S106" s="2">
        <v>2040</v>
      </c>
      <c r="T106" s="2">
        <v>2041</v>
      </c>
      <c r="U106" s="2">
        <v>2042</v>
      </c>
      <c r="V106" s="2">
        <v>2043</v>
      </c>
      <c r="W106" s="2">
        <v>2044</v>
      </c>
      <c r="X106" s="2">
        <v>2045</v>
      </c>
      <c r="Y106" s="2">
        <v>2046</v>
      </c>
      <c r="Z106" s="2">
        <v>2047</v>
      </c>
      <c r="AA106" s="2">
        <v>2048</v>
      </c>
      <c r="AB106" s="2">
        <v>2049</v>
      </c>
      <c r="AC106" s="2">
        <v>2050</v>
      </c>
    </row>
    <row r="107" spans="1:29" s="134" customFormat="1" x14ac:dyDescent="0.85">
      <c r="A107" s="89" t="s">
        <v>33</v>
      </c>
      <c r="B107" s="248"/>
      <c r="C107" s="249"/>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250"/>
    </row>
    <row r="108" spans="1:29" s="32" customFormat="1" ht="20.399999999999999" x14ac:dyDescent="0.7">
      <c r="A108" s="135" t="s">
        <v>142</v>
      </c>
      <c r="B108" s="21">
        <f>B101/'Emission Factors and Constants'!$A$7*'Forecast Parameters'!B125</f>
        <v>4801.8959036844672</v>
      </c>
      <c r="C108" s="21">
        <f>C101/'Emission Factors and Constants'!$A$7*'Forecast Parameters'!C125</f>
        <v>5132.8781578417902</v>
      </c>
      <c r="D108" s="21">
        <f>D101/'Emission Factors and Constants'!$A$7*'Forecast Parameters'!D125</f>
        <v>5424.4285259815197</v>
      </c>
      <c r="E108" s="21">
        <f>E101/'Emission Factors and Constants'!$A$7*'Forecast Parameters'!E125</f>
        <v>5668.9312384204768</v>
      </c>
      <c r="F108" s="21">
        <f>F101/'Emission Factors and Constants'!$A$7*'Forecast Parameters'!F125</f>
        <v>5775.014815577787</v>
      </c>
      <c r="G108" s="21">
        <f>G101/'Emission Factors and Constants'!$A$7*'Forecast Parameters'!G125</f>
        <v>5729.3341537832457</v>
      </c>
      <c r="H108" s="21">
        <f>H101/'Emission Factors and Constants'!$A$7*'Forecast Parameters'!H125</f>
        <v>5547.4096361104203</v>
      </c>
      <c r="I108" s="21">
        <f>I101/'Emission Factors and Constants'!$A$7*'Forecast Parameters'!I125</f>
        <v>5249.6541732669202</v>
      </c>
      <c r="J108" s="21">
        <f>J101/'Emission Factors and Constants'!$A$7*'Forecast Parameters'!J125</f>
        <v>4765.5433638909644</v>
      </c>
      <c r="K108" s="21">
        <f>K101/'Emission Factors and Constants'!$A$7*'Forecast Parameters'!K125</f>
        <v>4167.3027051026029</v>
      </c>
      <c r="L108" s="21">
        <f>L101/'Emission Factors and Constants'!$A$7*'Forecast Parameters'!L125</f>
        <v>3813.6503191949764</v>
      </c>
      <c r="M108" s="21">
        <f>M101/'Emission Factors and Constants'!$A$7*'Forecast Parameters'!M125</f>
        <v>3395.2842929258586</v>
      </c>
      <c r="N108" s="21">
        <f>N101/'Emission Factors and Constants'!$A$7*'Forecast Parameters'!N125</f>
        <v>2916.6257501437522</v>
      </c>
      <c r="O108" s="21">
        <f>O101/'Emission Factors and Constants'!$A$7*'Forecast Parameters'!O125</f>
        <v>2422.8631905366328</v>
      </c>
      <c r="P108" s="21">
        <f>P101/'Emission Factors and Constants'!$A$7*'Forecast Parameters'!P125</f>
        <v>1872.5483158620102</v>
      </c>
      <c r="Q108" s="21">
        <f>Q101/'Emission Factors and Constants'!$A$7*'Forecast Parameters'!Q125</f>
        <v>1277.352051848917</v>
      </c>
      <c r="R108" s="21">
        <f>R101/'Emission Factors and Constants'!$A$7*'Forecast Parameters'!R125</f>
        <v>650.36244015431043</v>
      </c>
      <c r="S108" s="21">
        <f>S101/'Emission Factors and Constants'!$A$7*'Forecast Parameters'!S125</f>
        <v>0</v>
      </c>
      <c r="T108" s="21">
        <f>T101/'Emission Factors and Constants'!$A$7*'Forecast Parameters'!T125</f>
        <v>0</v>
      </c>
      <c r="U108" s="21">
        <f>U101/'Emission Factors and Constants'!$A$7*'Forecast Parameters'!U125</f>
        <v>0</v>
      </c>
      <c r="V108" s="21">
        <f>V101/'Emission Factors and Constants'!$A$7*'Forecast Parameters'!V125</f>
        <v>0</v>
      </c>
      <c r="W108" s="21">
        <f>W101/'Emission Factors and Constants'!$A$7*'Forecast Parameters'!W125</f>
        <v>0</v>
      </c>
      <c r="X108" s="21">
        <f>X101/'Emission Factors and Constants'!$A$7*'Forecast Parameters'!X125</f>
        <v>0</v>
      </c>
      <c r="Y108" s="21">
        <f>Y101/'Emission Factors and Constants'!$A$7*'Forecast Parameters'!Y125</f>
        <v>0</v>
      </c>
      <c r="Z108" s="21">
        <f>Z101/'Emission Factors and Constants'!$A$7*'Forecast Parameters'!Z125</f>
        <v>0</v>
      </c>
      <c r="AA108" s="21">
        <f>AA101/'Emission Factors and Constants'!$A$7*'Forecast Parameters'!AA125</f>
        <v>0</v>
      </c>
      <c r="AB108" s="21">
        <f>AB101/'Emission Factors and Constants'!$A$7*'Forecast Parameters'!AB125</f>
        <v>0</v>
      </c>
      <c r="AC108" s="21">
        <f>AC101/'Emission Factors and Constants'!$A$7*'Forecast Parameters'!AC125</f>
        <v>0</v>
      </c>
    </row>
    <row r="109" spans="1:29" s="32" customFormat="1" ht="20.399999999999999" x14ac:dyDescent="0.7">
      <c r="A109" s="135" t="s">
        <v>143</v>
      </c>
      <c r="B109" s="21">
        <f>B108*$D$180</f>
        <v>131.31212085598665</v>
      </c>
      <c r="C109" s="21">
        <f>C108*$D$180</f>
        <v>140.36312542394182</v>
      </c>
      <c r="D109" s="21">
        <f t="shared" ref="D109:AC109" si="47">D108*$D$180</f>
        <v>148.33582994412862</v>
      </c>
      <c r="E109" s="21">
        <f t="shared" si="47"/>
        <v>155.02197441068526</v>
      </c>
      <c r="F109" s="21">
        <f t="shared" si="47"/>
        <v>157.92292432378679</v>
      </c>
      <c r="G109" s="21">
        <f t="shared" si="47"/>
        <v>156.67374593619539</v>
      </c>
      <c r="H109" s="21">
        <f t="shared" si="47"/>
        <v>151.69885794810068</v>
      </c>
      <c r="I109" s="21">
        <f t="shared" si="47"/>
        <v>143.55646958594656</v>
      </c>
      <c r="J109" s="21">
        <f t="shared" si="47"/>
        <v>130.3180282736956</v>
      </c>
      <c r="K109" s="21">
        <f t="shared" si="47"/>
        <v>113.95860456617487</v>
      </c>
      <c r="L109" s="21">
        <f t="shared" si="47"/>
        <v>104.28766505170559</v>
      </c>
      <c r="M109" s="21">
        <f t="shared" si="47"/>
        <v>92.84707339678512</v>
      </c>
      <c r="N109" s="21">
        <f t="shared" si="47"/>
        <v>79.75772917124138</v>
      </c>
      <c r="O109" s="21">
        <f t="shared" si="47"/>
        <v>66.255352151460031</v>
      </c>
      <c r="P109" s="21">
        <f t="shared" si="47"/>
        <v>51.206501701229698</v>
      </c>
      <c r="Q109" s="21">
        <f t="shared" si="47"/>
        <v>34.930329680684636</v>
      </c>
      <c r="R109" s="21">
        <f t="shared" si="47"/>
        <v>17.784740247328127</v>
      </c>
      <c r="S109" s="21">
        <f t="shared" si="47"/>
        <v>0</v>
      </c>
      <c r="T109" s="21">
        <f t="shared" si="47"/>
        <v>0</v>
      </c>
      <c r="U109" s="21">
        <f t="shared" si="47"/>
        <v>0</v>
      </c>
      <c r="V109" s="21">
        <f t="shared" si="47"/>
        <v>0</v>
      </c>
      <c r="W109" s="21">
        <f t="shared" si="47"/>
        <v>0</v>
      </c>
      <c r="X109" s="21">
        <f t="shared" si="47"/>
        <v>0</v>
      </c>
      <c r="Y109" s="21">
        <f t="shared" si="47"/>
        <v>0</v>
      </c>
      <c r="Z109" s="21">
        <f t="shared" si="47"/>
        <v>0</v>
      </c>
      <c r="AA109" s="21">
        <f t="shared" si="47"/>
        <v>0</v>
      </c>
      <c r="AB109" s="21">
        <f t="shared" si="47"/>
        <v>0</v>
      </c>
      <c r="AC109" s="21">
        <f t="shared" si="47"/>
        <v>0</v>
      </c>
    </row>
    <row r="110" spans="1:29" s="134" customFormat="1" x14ac:dyDescent="0.85">
      <c r="A110" s="89" t="s">
        <v>219</v>
      </c>
      <c r="B110" s="248"/>
      <c r="C110" s="249"/>
      <c r="D110" s="249"/>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c r="AA110" s="249"/>
      <c r="AB110" s="249"/>
      <c r="AC110" s="250"/>
    </row>
    <row r="111" spans="1:29" s="32" customFormat="1" ht="20.399999999999999" x14ac:dyDescent="0.3">
      <c r="A111" s="135" t="s">
        <v>222</v>
      </c>
      <c r="B111" s="92">
        <f>B83*'Emission Factors and Constants'!$C$54+B23*B26*'Emission Factors and Constants'!$C$55*(1/'Emission Factors and Constants'!$A$10)*'Emission Factors and Constants'!$C$26+'Emission Factors and Constants'!$C$27*(1/'Emission Factors and Constants'!$A$10)*'Emission Factors and Constants'!$C$59*B23*B26</f>
        <v>826451.63277637074</v>
      </c>
      <c r="C111" s="92">
        <f>C83*'Emission Factors and Constants'!$C$54+C23*C26*'Emission Factors and Constants'!$C$55*(1/'Emission Factors and Constants'!$A$10)*'Emission Factors and Constants'!$C$26+'Emission Factors and Constants'!$C$27*(1/'Emission Factors and Constants'!$A$10)*'Emission Factors and Constants'!$C$59*C23*C26</f>
        <v>809806.47351915285</v>
      </c>
      <c r="D111" s="92">
        <f>D83*'Emission Factors and Constants'!$C$54+D23*D26*'Emission Factors and Constants'!$C$55*(1/'Emission Factors and Constants'!$A$10)*'Emission Factors and Constants'!$C$26+'Emission Factors and Constants'!$C$27*(1/'Emission Factors and Constants'!$A$10)*'Emission Factors and Constants'!$C$59*D23*D26</f>
        <v>792309.6506878736</v>
      </c>
      <c r="E111" s="92">
        <f>E83*'Emission Factors and Constants'!$C$54+E23*E26*'Emission Factors and Constants'!$C$55*(1/'Emission Factors and Constants'!$A$10)*'Emission Factors and Constants'!$C$26+'Emission Factors and Constants'!$C$27*(1/'Emission Factors and Constants'!$A$10)*'Emission Factors and Constants'!$C$59*E23*E26</f>
        <v>773399.37262256083</v>
      </c>
      <c r="F111" s="92">
        <f>F83*'Emission Factors and Constants'!$C$54+F23*F26*'Emission Factors and Constants'!$C$55*(1/'Emission Factors and Constants'!$A$10)*'Emission Factors and Constants'!$C$26+'Emission Factors and Constants'!$C$27*(1/'Emission Factors and Constants'!$A$10)*'Emission Factors and Constants'!$C$59*F23*F26</f>
        <v>754148.37995719153</v>
      </c>
      <c r="G111" s="92">
        <f>G83*'Emission Factors and Constants'!$C$54+G23*G26*'Emission Factors and Constants'!$C$55*(1/'Emission Factors and Constants'!$A$10)*'Emission Factors and Constants'!$C$26+'Emission Factors and Constants'!$C$27*(1/'Emission Factors and Constants'!$A$10)*'Emission Factors and Constants'!$C$59*G23*G26</f>
        <v>734537.80894765409</v>
      </c>
      <c r="H111" s="92">
        <f>H83*'Emission Factors and Constants'!$C$54+H23*H26*'Emission Factors and Constants'!$C$55*(1/'Emission Factors and Constants'!$A$10)*'Emission Factors and Constants'!$C$26+'Emission Factors and Constants'!$C$27*(1/'Emission Factors and Constants'!$A$10)*'Emission Factors and Constants'!$C$59*H23*H26</f>
        <v>714333.87901948811</v>
      </c>
      <c r="I111" s="92">
        <f>I83*'Emission Factors and Constants'!$C$54+I23*I26*'Emission Factors and Constants'!$C$55*(1/'Emission Factors and Constants'!$A$10)*'Emission Factors and Constants'!$C$26+'Emission Factors and Constants'!$C$27*(1/'Emission Factors and Constants'!$A$10)*'Emission Factors and Constants'!$C$59*I23*I26</f>
        <v>693887.99757242191</v>
      </c>
      <c r="J111" s="92">
        <f>J83*'Emission Factors and Constants'!$C$54+J23*J26*'Emission Factors and Constants'!$C$55*(1/'Emission Factors and Constants'!$A$10)*'Emission Factors and Constants'!$C$26+'Emission Factors and Constants'!$C$27*(1/'Emission Factors and Constants'!$A$10)*'Emission Factors and Constants'!$C$59*J23*J26</f>
        <v>673907.77594297461</v>
      </c>
      <c r="K111" s="92">
        <f>K83*'Emission Factors and Constants'!$C$54+K23*K26*'Emission Factors and Constants'!$C$55*(1/'Emission Factors and Constants'!$A$10)*'Emission Factors and Constants'!$C$26+'Emission Factors and Constants'!$C$27*(1/'Emission Factors and Constants'!$A$10)*'Emission Factors and Constants'!$C$59*K23*K26</f>
        <v>654484.68010324542</v>
      </c>
      <c r="L111" s="92">
        <f>L83*'Emission Factors and Constants'!$C$54+L23*L26*'Emission Factors and Constants'!$C$55*(1/'Emission Factors and Constants'!$A$10)*'Emission Factors and Constants'!$C$26+'Emission Factors and Constants'!$C$27*(1/'Emission Factors and Constants'!$A$10)*'Emission Factors and Constants'!$C$59*L23*L26</f>
        <v>636151.88991887029</v>
      </c>
      <c r="M111" s="92">
        <f>M83*'Emission Factors and Constants'!$C$54+M23*M26*'Emission Factors and Constants'!$C$55*(1/'Emission Factors and Constants'!$A$10)*'Emission Factors and Constants'!$C$26+'Emission Factors and Constants'!$C$27*(1/'Emission Factors and Constants'!$A$10)*'Emission Factors and Constants'!$C$59*M23*M26</f>
        <v>618845.60823542101</v>
      </c>
      <c r="N111" s="92">
        <f>N83*'Emission Factors and Constants'!$C$54+N23*N26*'Emission Factors and Constants'!$C$55*(1/'Emission Factors and Constants'!$A$10)*'Emission Factors and Constants'!$C$26+'Emission Factors and Constants'!$C$27*(1/'Emission Factors and Constants'!$A$10)*'Emission Factors and Constants'!$C$59*N23*N26</f>
        <v>601826.51985196746</v>
      </c>
      <c r="O111" s="92">
        <f>O83*'Emission Factors and Constants'!$C$54+O23*O26*'Emission Factors and Constants'!$C$55*(1/'Emission Factors and Constants'!$A$10)*'Emission Factors and Constants'!$C$26+'Emission Factors and Constants'!$C$27*(1/'Emission Factors and Constants'!$A$10)*'Emission Factors and Constants'!$C$59*O23*O26</f>
        <v>585234.2874334529</v>
      </c>
      <c r="P111" s="92">
        <f>P83*'Emission Factors and Constants'!$C$54+P23*P26*'Emission Factors and Constants'!$C$55*(1/'Emission Factors and Constants'!$A$10)*'Emission Factors and Constants'!$C$26+'Emission Factors and Constants'!$C$27*(1/'Emission Factors and Constants'!$A$10)*'Emission Factors and Constants'!$C$59*P23*P26</f>
        <v>570200.07825737901</v>
      </c>
      <c r="Q111" s="92">
        <f>Q83*'Emission Factors and Constants'!$C$54+Q23*Q26*'Emission Factors and Constants'!$C$55*(1/'Emission Factors and Constants'!$A$10)*'Emission Factors and Constants'!$C$26+'Emission Factors and Constants'!$C$27*(1/'Emission Factors and Constants'!$A$10)*'Emission Factors and Constants'!$C$59*Q23*Q26</f>
        <v>557164.62756959454</v>
      </c>
      <c r="R111" s="92">
        <f>R83*'Emission Factors and Constants'!$C$54+R23*R26*'Emission Factors and Constants'!$C$55*(1/'Emission Factors and Constants'!$A$10)*'Emission Factors and Constants'!$C$26+'Emission Factors and Constants'!$C$27*(1/'Emission Factors and Constants'!$A$10)*'Emission Factors and Constants'!$C$59*R23*R26</f>
        <v>545205.75799274142</v>
      </c>
      <c r="S111" s="92">
        <f>S83*'Emission Factors and Constants'!$C$54+S23*S26*'Emission Factors and Constants'!$C$55*(1/'Emission Factors and Constants'!$A$10)*'Emission Factors and Constants'!$C$26+'Emission Factors and Constants'!$C$27*(1/'Emission Factors and Constants'!$A$10)*'Emission Factors and Constants'!$C$59*S23*S26</f>
        <v>535099.01433640113</v>
      </c>
      <c r="T111" s="92">
        <f>T83*'Emission Factors and Constants'!$C$54+T23*T26*'Emission Factors and Constants'!$C$55*(1/'Emission Factors and Constants'!$A$10)*'Emission Factors and Constants'!$C$26+'Emission Factors and Constants'!$C$27*(1/'Emission Factors and Constants'!$A$10)*'Emission Factors and Constants'!$C$59*T23*T26</f>
        <v>525758.48498442664</v>
      </c>
      <c r="U111" s="92">
        <f>U83*'Emission Factors and Constants'!$C$54+U23*U26*'Emission Factors and Constants'!$C$55*(1/'Emission Factors and Constants'!$A$10)*'Emission Factors and Constants'!$C$26+'Emission Factors and Constants'!$C$27*(1/'Emission Factors and Constants'!$A$10)*'Emission Factors and Constants'!$C$59*U23*U26</f>
        <v>517894.73356698779</v>
      </c>
      <c r="V111" s="92">
        <f>V83*'Emission Factors and Constants'!$C$54+V23*V26*'Emission Factors and Constants'!$C$55*(1/'Emission Factors and Constants'!$A$10)*'Emission Factors and Constants'!$C$26+'Emission Factors and Constants'!$C$27*(1/'Emission Factors and Constants'!$A$10)*'Emission Factors and Constants'!$C$59*V23*V26</f>
        <v>511596.88055757701</v>
      </c>
      <c r="W111" s="92">
        <f>W83*'Emission Factors and Constants'!$C$54+W23*W26*'Emission Factors and Constants'!$C$55*(1/'Emission Factors and Constants'!$A$10)*'Emission Factors and Constants'!$C$26+'Emission Factors and Constants'!$C$27*(1/'Emission Factors and Constants'!$A$10)*'Emission Factors and Constants'!$C$59*W23*W26</f>
        <v>506233.0848784619</v>
      </c>
      <c r="X111" s="92">
        <f>X83*'Emission Factors and Constants'!$C$54+X23*X26*'Emission Factors and Constants'!$C$55*(1/'Emission Factors and Constants'!$A$10)*'Emission Factors and Constants'!$C$26+'Emission Factors and Constants'!$C$27*(1/'Emission Factors and Constants'!$A$10)*'Emission Factors and Constants'!$C$59*X23*X26</f>
        <v>501692.08739820711</v>
      </c>
      <c r="Y111" s="92">
        <f>Y83*'Emission Factors and Constants'!$C$54+Y23*Y26*'Emission Factors and Constants'!$C$55*(1/'Emission Factors and Constants'!$A$10)*'Emission Factors and Constants'!$C$26+'Emission Factors and Constants'!$C$27*(1/'Emission Factors and Constants'!$A$10)*'Emission Factors and Constants'!$C$59*Y23*Y26</f>
        <v>497407.64876015013</v>
      </c>
      <c r="Z111" s="92">
        <f>Z83*'Emission Factors and Constants'!$C$54+Z23*Z26*'Emission Factors and Constants'!$C$55*(1/'Emission Factors and Constants'!$A$10)*'Emission Factors and Constants'!$C$26+'Emission Factors and Constants'!$C$27*(1/'Emission Factors and Constants'!$A$10)*'Emission Factors and Constants'!$C$59*Z23*Z26</f>
        <v>493816.913581117</v>
      </c>
      <c r="AA111" s="92">
        <f>AA83*'Emission Factors and Constants'!$C$54+AA23*AA26*'Emission Factors and Constants'!$C$55*(1/'Emission Factors and Constants'!$A$10)*'Emission Factors and Constants'!$C$26+'Emission Factors and Constants'!$C$27*(1/'Emission Factors and Constants'!$A$10)*'Emission Factors and Constants'!$C$59*AA23*AA26</f>
        <v>490569.79164371348</v>
      </c>
      <c r="AB111" s="92">
        <f>AB83*'Emission Factors and Constants'!$C$54+AB23*AB26*'Emission Factors and Constants'!$C$55*(1/'Emission Factors and Constants'!$A$10)*'Emission Factors and Constants'!$C$26+'Emission Factors and Constants'!$C$27*(1/'Emission Factors and Constants'!$A$10)*'Emission Factors and Constants'!$C$59*AB23*AB26</f>
        <v>487394.27643635188</v>
      </c>
      <c r="AC111" s="92">
        <f>AC83*'Emission Factors and Constants'!$C$54+AC23*AC26*'Emission Factors and Constants'!$C$55*(1/'Emission Factors and Constants'!$A$10)*'Emission Factors and Constants'!$C$26+'Emission Factors and Constants'!$C$27*(1/'Emission Factors and Constants'!$A$10)*'Emission Factors and Constants'!$C$59*AC23*AC26</f>
        <v>484623.94793848222</v>
      </c>
    </row>
    <row r="112" spans="1:29" s="32" customFormat="1" ht="20.399999999999999" x14ac:dyDescent="0.3">
      <c r="A112" s="135" t="s">
        <v>224</v>
      </c>
      <c r="B112" s="92">
        <f>B23*B29*'Emission Factors and Constants'!$C$77*(1/'Emission Factors and Constants'!$A$10)*'Emission Factors and Constants'!$C$26+'Emission Factors and Constants'!$C$27*(1/'Emission Factors and Constants'!$A$10)*'Emission Factors and Constants'!$C$80*B23*B29</f>
        <v>4868.4630278965715</v>
      </c>
      <c r="C112" s="92">
        <f>C23*C29*'Emission Factors and Constants'!$C$77*(1/'Emission Factors and Constants'!$A$10)*'Emission Factors and Constants'!$C$26+'Emission Factors and Constants'!$C$27*(1/'Emission Factors and Constants'!$A$10)*'Emission Factors and Constants'!$C$80*C23*C29</f>
        <v>4867.9007613113617</v>
      </c>
      <c r="D112" s="92">
        <f>D23*D29*'Emission Factors and Constants'!$C$77*(1/'Emission Factors and Constants'!$A$10)*'Emission Factors and Constants'!$C$26+'Emission Factors and Constants'!$C$27*(1/'Emission Factors and Constants'!$A$10)*'Emission Factors and Constants'!$C$80*D23*D29</f>
        <v>4865.6264147152951</v>
      </c>
      <c r="E112" s="92">
        <f>E23*E29*'Emission Factors and Constants'!$C$77*(1/'Emission Factors and Constants'!$A$10)*'Emission Factors and Constants'!$C$26+'Emission Factors and Constants'!$C$27*(1/'Emission Factors and Constants'!$A$10)*'Emission Factors and Constants'!$C$80*E23*E29</f>
        <v>4857.5482799219199</v>
      </c>
      <c r="F112" s="92">
        <f>F23*F29*'Emission Factors and Constants'!$C$77*(1/'Emission Factors and Constants'!$A$10)*'Emission Factors and Constants'!$C$26+'Emission Factors and Constants'!$C$27*(1/'Emission Factors and Constants'!$A$10)*'Emission Factors and Constants'!$C$80*F23*F29</f>
        <v>4849.7708339970195</v>
      </c>
      <c r="G112" s="92">
        <f>G23*G29*'Emission Factors and Constants'!$C$77*(1/'Emission Factors and Constants'!$A$10)*'Emission Factors and Constants'!$C$26+'Emission Factors and Constants'!$C$27*(1/'Emission Factors and Constants'!$A$10)*'Emission Factors and Constants'!$C$80*G23*G29</f>
        <v>4842.748227095557</v>
      </c>
      <c r="H112" s="92">
        <f>H23*H29*'Emission Factors and Constants'!$C$77*(1/'Emission Factors and Constants'!$A$10)*'Emission Factors and Constants'!$C$26+'Emission Factors and Constants'!$C$27*(1/'Emission Factors and Constants'!$A$10)*'Emission Factors and Constants'!$C$80*H23*H29</f>
        <v>4836.3353881597559</v>
      </c>
      <c r="I112" s="92">
        <f>I23*I29*'Emission Factors and Constants'!$C$77*(1/'Emission Factors and Constants'!$A$10)*'Emission Factors and Constants'!$C$26+'Emission Factors and Constants'!$C$27*(1/'Emission Factors and Constants'!$A$10)*'Emission Factors and Constants'!$C$80*I23*I29</f>
        <v>4830.0604410583765</v>
      </c>
      <c r="J112" s="92">
        <f>J23*J29*'Emission Factors and Constants'!$C$77*(1/'Emission Factors and Constants'!$A$10)*'Emission Factors and Constants'!$C$26+'Emission Factors and Constants'!$C$27*(1/'Emission Factors and Constants'!$A$10)*'Emission Factors and Constants'!$C$80*J23*J29</f>
        <v>4819.5184115752063</v>
      </c>
      <c r="K112" s="92">
        <f>K23*K29*'Emission Factors and Constants'!$C$77*(1/'Emission Factors and Constants'!$A$10)*'Emission Factors and Constants'!$C$26+'Emission Factors and Constants'!$C$27*(1/'Emission Factors and Constants'!$A$10)*'Emission Factors and Constants'!$C$80*K23*K29</f>
        <v>4809.8338915151589</v>
      </c>
      <c r="L112" s="92">
        <f>L23*L29*'Emission Factors and Constants'!$C$77*(1/'Emission Factors and Constants'!$A$10)*'Emission Factors and Constants'!$C$26+'Emission Factors and Constants'!$C$27*(1/'Emission Factors and Constants'!$A$10)*'Emission Factors and Constants'!$C$80*L23*L29</f>
        <v>4800.8337824984937</v>
      </c>
      <c r="M112" s="92">
        <f>M23*M29*'Emission Factors and Constants'!$C$77*(1/'Emission Factors and Constants'!$A$10)*'Emission Factors and Constants'!$C$26+'Emission Factors and Constants'!$C$27*(1/'Emission Factors and Constants'!$A$10)*'Emission Factors and Constants'!$C$80*M23*M29</f>
        <v>4792.6889371885554</v>
      </c>
      <c r="N112" s="92">
        <f>N23*N29*'Emission Factors and Constants'!$C$77*(1/'Emission Factors and Constants'!$A$10)*'Emission Factors and Constants'!$C$26+'Emission Factors and Constants'!$C$27*(1/'Emission Factors and Constants'!$A$10)*'Emission Factors and Constants'!$C$80*N23*N29</f>
        <v>4785.6605351018788</v>
      </c>
      <c r="O112" s="92">
        <f>O23*O29*'Emission Factors and Constants'!$C$77*(1/'Emission Factors and Constants'!$A$10)*'Emission Factors and Constants'!$C$26+'Emission Factors and Constants'!$C$27*(1/'Emission Factors and Constants'!$A$10)*'Emission Factors and Constants'!$C$80*O23*O29</f>
        <v>4773.3829077180308</v>
      </c>
      <c r="P112" s="92">
        <f>P23*P29*'Emission Factors and Constants'!$C$77*(1/'Emission Factors and Constants'!$A$10)*'Emission Factors and Constants'!$C$26+'Emission Factors and Constants'!$C$27*(1/'Emission Factors and Constants'!$A$10)*'Emission Factors and Constants'!$C$80*P23*P29</f>
        <v>4762.5271655641509</v>
      </c>
      <c r="Q112" s="92">
        <f>Q23*Q29*'Emission Factors and Constants'!$C$77*(1/'Emission Factors and Constants'!$A$10)*'Emission Factors and Constants'!$C$26+'Emission Factors and Constants'!$C$27*(1/'Emission Factors and Constants'!$A$10)*'Emission Factors and Constants'!$C$80*Q23*Q29</f>
        <v>4753.142494690991</v>
      </c>
      <c r="R112" s="92">
        <f>R23*R29*'Emission Factors and Constants'!$C$77*(1/'Emission Factors and Constants'!$A$10)*'Emission Factors and Constants'!$C$26+'Emission Factors and Constants'!$C$27*(1/'Emission Factors and Constants'!$A$10)*'Emission Factors and Constants'!$C$80*R23*R29</f>
        <v>4744.7610845261133</v>
      </c>
      <c r="S112" s="92">
        <f>S23*S29*'Emission Factors and Constants'!$C$77*(1/'Emission Factors and Constants'!$A$10)*'Emission Factors and Constants'!$C$26+'Emission Factors and Constants'!$C$27*(1/'Emission Factors and Constants'!$A$10)*'Emission Factors and Constants'!$C$80*S23*S29</f>
        <v>4737.2750279876682</v>
      </c>
      <c r="T112" s="92">
        <f>T23*T29*'Emission Factors and Constants'!$C$77*(1/'Emission Factors and Constants'!$A$10)*'Emission Factors and Constants'!$C$26+'Emission Factors and Constants'!$C$27*(1/'Emission Factors and Constants'!$A$10)*'Emission Factors and Constants'!$C$80*T23*T29</f>
        <v>4726.4171534006264</v>
      </c>
      <c r="U112" s="92">
        <f>U23*U29*'Emission Factors and Constants'!$C$77*(1/'Emission Factors and Constants'!$A$10)*'Emission Factors and Constants'!$C$26+'Emission Factors and Constants'!$C$27*(1/'Emission Factors and Constants'!$A$10)*'Emission Factors and Constants'!$C$80*U23*U29</f>
        <v>4716.1381434175364</v>
      </c>
      <c r="V112" s="92">
        <f>V23*V29*'Emission Factors and Constants'!$C$77*(1/'Emission Factors and Constants'!$A$10)*'Emission Factors and Constants'!$C$26+'Emission Factors and Constants'!$C$27*(1/'Emission Factors and Constants'!$A$10)*'Emission Factors and Constants'!$C$80*V23*V29</f>
        <v>4706.1627273574049</v>
      </c>
      <c r="W112" s="92">
        <f>W23*W29*'Emission Factors and Constants'!$C$77*(1/'Emission Factors and Constants'!$A$10)*'Emission Factors and Constants'!$C$26+'Emission Factors and Constants'!$C$27*(1/'Emission Factors and Constants'!$A$10)*'Emission Factors and Constants'!$C$80*W23*W29</f>
        <v>4696.369367826328</v>
      </c>
      <c r="X112" s="92">
        <f>X23*X29*'Emission Factors and Constants'!$C$77*(1/'Emission Factors and Constants'!$A$10)*'Emission Factors and Constants'!$C$26+'Emission Factors and Constants'!$C$27*(1/'Emission Factors and Constants'!$A$10)*'Emission Factors and Constants'!$C$80*X23*X29</f>
        <v>4686.8114427385262</v>
      </c>
      <c r="Y112" s="92">
        <f>Y23*Y29*'Emission Factors and Constants'!$C$77*(1/'Emission Factors and Constants'!$A$10)*'Emission Factors and Constants'!$C$26+'Emission Factors and Constants'!$C$27*(1/'Emission Factors and Constants'!$A$10)*'Emission Factors and Constants'!$C$80*Y23*Y29</f>
        <v>4674.1045176555763</v>
      </c>
      <c r="Z112" s="92">
        <f>Z23*Z29*'Emission Factors and Constants'!$C$77*(1/'Emission Factors and Constants'!$A$10)*'Emission Factors and Constants'!$C$26+'Emission Factors and Constants'!$C$27*(1/'Emission Factors and Constants'!$A$10)*'Emission Factors and Constants'!$C$80*Z23*Z29</f>
        <v>4661.2465559565253</v>
      </c>
      <c r="AA112" s="92">
        <f>AA23*AA29*'Emission Factors and Constants'!$C$77*(1/'Emission Factors and Constants'!$A$10)*'Emission Factors and Constants'!$C$26+'Emission Factors and Constants'!$C$27*(1/'Emission Factors and Constants'!$A$10)*'Emission Factors and Constants'!$C$80*AA23*AA29</f>
        <v>4648.4832826484235</v>
      </c>
      <c r="AB112" s="92">
        <f>AB23*AB29*'Emission Factors and Constants'!$C$77*(1/'Emission Factors and Constants'!$A$10)*'Emission Factors and Constants'!$C$26+'Emission Factors and Constants'!$C$27*(1/'Emission Factors and Constants'!$A$10)*'Emission Factors and Constants'!$C$80*AB23*AB29</f>
        <v>4635.7692751991863</v>
      </c>
      <c r="AC112" s="92">
        <f>AC23*AC29*'Emission Factors and Constants'!$C$77*(1/'Emission Factors and Constants'!$A$10)*'Emission Factors and Constants'!$C$26+'Emission Factors and Constants'!$C$27*(1/'Emission Factors and Constants'!$A$10)*'Emission Factors and Constants'!$C$80*AC23*AC29</f>
        <v>4622.8350592887491</v>
      </c>
    </row>
    <row r="113" spans="1:31" s="32" customFormat="1" ht="20.399999999999999" x14ac:dyDescent="0.3">
      <c r="A113" s="135" t="s">
        <v>223</v>
      </c>
      <c r="B113" s="92">
        <f>B85*'Emission Factors and Constants'!$C$65+B23*B32*'Emission Factors and Constants'!$C$66*(1/'Emission Factors and Constants'!$A$10)*'Emission Factors and Constants'!$C$26+'Emission Factors and Constants'!$C$27*(1/'Emission Factors and Constants'!$A$10)*'Emission Factors and Constants'!$C$70*B23*B32</f>
        <v>29669.277971718791</v>
      </c>
      <c r="C113" s="92">
        <f>C85*'Emission Factors and Constants'!$C$65+C23*C32*'Emission Factors and Constants'!$C$66*(1/'Emission Factors and Constants'!$A$10)*'Emission Factors and Constants'!$C$26+'Emission Factors and Constants'!$C$27*(1/'Emission Factors and Constants'!$A$10)*'Emission Factors and Constants'!$C$70*C23*C32</f>
        <v>29079.853202366172</v>
      </c>
      <c r="D113" s="92">
        <f>D85*'Emission Factors and Constants'!$C$65+D23*D32*'Emission Factors and Constants'!$C$66*(1/'Emission Factors and Constants'!$A$10)*'Emission Factors and Constants'!$C$26+'Emission Factors and Constants'!$C$27*(1/'Emission Factors and Constants'!$A$10)*'Emission Factors and Constants'!$C$70*D23*D32</f>
        <v>28460.129649190752</v>
      </c>
      <c r="E113" s="92">
        <f>E85*'Emission Factors and Constants'!$C$65+E23*E32*'Emission Factors and Constants'!$C$66*(1/'Emission Factors and Constants'!$A$10)*'Emission Factors and Constants'!$C$26+'Emission Factors and Constants'!$C$27*(1/'Emission Factors and Constants'!$A$10)*'Emission Factors and Constants'!$C$70*E23*E32</f>
        <v>27789.873984114278</v>
      </c>
      <c r="F113" s="92">
        <f>F85*'Emission Factors and Constants'!$C$65+F23*F32*'Emission Factors and Constants'!$C$66*(1/'Emission Factors and Constants'!$A$10)*'Emission Factors and Constants'!$C$26+'Emission Factors and Constants'!$C$27*(1/'Emission Factors and Constants'!$A$10)*'Emission Factors and Constants'!$C$70*F23*F32</f>
        <v>27107.579246113168</v>
      </c>
      <c r="G113" s="92">
        <f>G85*'Emission Factors and Constants'!$C$65+G23*G32*'Emission Factors and Constants'!$C$66*(1/'Emission Factors and Constants'!$A$10)*'Emission Factors and Constants'!$C$26+'Emission Factors and Constants'!$C$27*(1/'Emission Factors and Constants'!$A$10)*'Emission Factors and Constants'!$C$70*G23*G32</f>
        <v>26412.615371991422</v>
      </c>
      <c r="H113" s="92">
        <f>H85*'Emission Factors and Constants'!$C$65+H23*H32*'Emission Factors and Constants'!$C$66*(1/'Emission Factors and Constants'!$A$10)*'Emission Factors and Constants'!$C$26+'Emission Factors and Constants'!$C$27*(1/'Emission Factors and Constants'!$A$10)*'Emission Factors and Constants'!$C$70*H23*H32</f>
        <v>25696.692476388416</v>
      </c>
      <c r="I113" s="92">
        <f>I85*'Emission Factors and Constants'!$C$65+I23*I32*'Emission Factors and Constants'!$C$66*(1/'Emission Factors and Constants'!$A$10)*'Emission Factors and Constants'!$C$26+'Emission Factors and Constants'!$C$27*(1/'Emission Factors and Constants'!$A$10)*'Emission Factors and Constants'!$C$70*I23*I32</f>
        <v>24972.21397164444</v>
      </c>
      <c r="J113" s="92">
        <f>J85*'Emission Factors and Constants'!$C$65+J23*J32*'Emission Factors and Constants'!$C$66*(1/'Emission Factors and Constants'!$A$10)*'Emission Factors and Constants'!$C$26+'Emission Factors and Constants'!$C$27*(1/'Emission Factors and Constants'!$A$10)*'Emission Factors and Constants'!$C$70*J23*J32</f>
        <v>24263.86789196773</v>
      </c>
      <c r="K113" s="92">
        <f>K85*'Emission Factors and Constants'!$C$65+K23*K32*'Emission Factors and Constants'!$C$66*(1/'Emission Factors and Constants'!$A$10)*'Emission Factors and Constants'!$C$26+'Emission Factors and Constants'!$C$27*(1/'Emission Factors and Constants'!$A$10)*'Emission Factors and Constants'!$C$70*K23*K32</f>
        <v>23575.320232768427</v>
      </c>
      <c r="L113" s="92">
        <f>L85*'Emission Factors and Constants'!$C$65+L23*L32*'Emission Factors and Constants'!$C$66*(1/'Emission Factors and Constants'!$A$10)*'Emission Factors and Constants'!$C$26+'Emission Factors and Constants'!$C$27*(1/'Emission Factors and Constants'!$A$10)*'Emission Factors and Constants'!$C$70*L23*L32</f>
        <v>22925.435587086929</v>
      </c>
      <c r="M113" s="92">
        <f>M85*'Emission Factors and Constants'!$C$65+M23*M32*'Emission Factors and Constants'!$C$66*(1/'Emission Factors and Constants'!$A$10)*'Emission Factors and Constants'!$C$26+'Emission Factors and Constants'!$C$27*(1/'Emission Factors and Constants'!$A$10)*'Emission Factors and Constants'!$C$70*M23*M32</f>
        <v>22311.969249203823</v>
      </c>
      <c r="N113" s="92">
        <f>N85*'Emission Factors and Constants'!$C$65+N23*N32*'Emission Factors and Constants'!$C$66*(1/'Emission Factors and Constants'!$A$10)*'Emission Factors and Constants'!$C$26+'Emission Factors and Constants'!$C$27*(1/'Emission Factors and Constants'!$A$10)*'Emission Factors and Constants'!$C$70*N23*N32</f>
        <v>21708.765055790263</v>
      </c>
      <c r="O113" s="92">
        <f>O85*'Emission Factors and Constants'!$C$65+O23*O32*'Emission Factors and Constants'!$C$66*(1/'Emission Factors and Constants'!$A$10)*'Emission Factors and Constants'!$C$26+'Emission Factors and Constants'!$C$27*(1/'Emission Factors and Constants'!$A$10)*'Emission Factors and Constants'!$C$70*O23*O32</f>
        <v>21120.237406481756</v>
      </c>
      <c r="P113" s="92">
        <f>P85*'Emission Factors and Constants'!$C$65+P23*P32*'Emission Factors and Constants'!$C$66*(1/'Emission Factors and Constants'!$A$10)*'Emission Factors and Constants'!$C$26+'Emission Factors and Constants'!$C$27*(1/'Emission Factors and Constants'!$A$10)*'Emission Factors and Constants'!$C$70*P23*P32</f>
        <v>20586.995383228339</v>
      </c>
      <c r="Q113" s="92">
        <f>Q85*'Emission Factors and Constants'!$C$65+Q23*Q32*'Emission Factors and Constants'!$C$66*(1/'Emission Factors and Constants'!$A$10)*'Emission Factors and Constants'!$C$26+'Emission Factors and Constants'!$C$27*(1/'Emission Factors and Constants'!$A$10)*'Emission Factors and Constants'!$C$70*Q23*Q32</f>
        <v>20124.648802273619</v>
      </c>
      <c r="R113" s="92">
        <f>R85*'Emission Factors and Constants'!$C$65+R23*R32*'Emission Factors and Constants'!$C$66*(1/'Emission Factors and Constants'!$A$10)*'Emission Factors and Constants'!$C$26+'Emission Factors and Constants'!$C$27*(1/'Emission Factors and Constants'!$A$10)*'Emission Factors and Constants'!$C$70*R23*R32</f>
        <v>19700.5058597223</v>
      </c>
      <c r="S113" s="92">
        <f>S85*'Emission Factors and Constants'!$C$65+S23*S32*'Emission Factors and Constants'!$C$66*(1/'Emission Factors and Constants'!$A$10)*'Emission Factors and Constants'!$C$26+'Emission Factors and Constants'!$C$27*(1/'Emission Factors and Constants'!$A$10)*'Emission Factors and Constants'!$C$70*S23*S32</f>
        <v>19342.01833137024</v>
      </c>
      <c r="T113" s="92">
        <f>T85*'Emission Factors and Constants'!$C$65+T23*T32*'Emission Factors and Constants'!$C$66*(1/'Emission Factors and Constants'!$A$10)*'Emission Factors and Constants'!$C$26+'Emission Factors and Constants'!$C$27*(1/'Emission Factors and Constants'!$A$10)*'Emission Factors and Constants'!$C$70*T23*T32</f>
        <v>19010.380026441275</v>
      </c>
      <c r="U113" s="92">
        <f>U85*'Emission Factors and Constants'!$C$65+U23*U32*'Emission Factors and Constants'!$C$66*(1/'Emission Factors and Constants'!$A$10)*'Emission Factors and Constants'!$C$26+'Emission Factors and Constants'!$C$27*(1/'Emission Factors and Constants'!$A$10)*'Emission Factors and Constants'!$C$70*U23*U32</f>
        <v>18731.080285322532</v>
      </c>
      <c r="V113" s="92">
        <f>V85*'Emission Factors and Constants'!$C$65+V23*V32*'Emission Factors and Constants'!$C$66*(1/'Emission Factors and Constants'!$A$10)*'Emission Factors and Constants'!$C$26+'Emission Factors and Constants'!$C$27*(1/'Emission Factors and Constants'!$A$10)*'Emission Factors and Constants'!$C$70*V23*V32</f>
        <v>18507.251763750803</v>
      </c>
      <c r="W113" s="92">
        <f>W85*'Emission Factors and Constants'!$C$65+W23*W32*'Emission Factors and Constants'!$C$66*(1/'Emission Factors and Constants'!$A$10)*'Emission Factors and Constants'!$C$26+'Emission Factors and Constants'!$C$27*(1/'Emission Factors and Constants'!$A$10)*'Emission Factors and Constants'!$C$70*W23*W32</f>
        <v>18316.511867031761</v>
      </c>
      <c r="X113" s="92">
        <f>X85*'Emission Factors and Constants'!$C$65+X23*X32*'Emission Factors and Constants'!$C$66*(1/'Emission Factors and Constants'!$A$10)*'Emission Factors and Constants'!$C$26+'Emission Factors and Constants'!$C$27*(1/'Emission Factors and Constants'!$A$10)*'Emission Factors and Constants'!$C$70*X23*X32</f>
        <v>18154.925542309935</v>
      </c>
      <c r="Y113" s="92">
        <f>Y85*'Emission Factors and Constants'!$C$65+Y23*Y32*'Emission Factors and Constants'!$C$66*(1/'Emission Factors and Constants'!$A$10)*'Emission Factors and Constants'!$C$26+'Emission Factors and Constants'!$C$27*(1/'Emission Factors and Constants'!$A$10)*'Emission Factors and Constants'!$C$70*Y23*Y32</f>
        <v>18002.160954722902</v>
      </c>
      <c r="Z113" s="92">
        <f>Z85*'Emission Factors and Constants'!$C$65+Z23*Z32*'Emission Factors and Constants'!$C$66*(1/'Emission Factors and Constants'!$A$10)*'Emission Factors and Constants'!$C$26+'Emission Factors and Constants'!$C$27*(1/'Emission Factors and Constants'!$A$10)*'Emission Factors and Constants'!$C$70*Z23*Z32</f>
        <v>17873.946677948814</v>
      </c>
      <c r="AA113" s="92">
        <f>AA85*'Emission Factors and Constants'!$C$65+AA23*AA32*'Emission Factors and Constants'!$C$66*(1/'Emission Factors and Constants'!$A$10)*'Emission Factors and Constants'!$C$26+'Emission Factors and Constants'!$C$27*(1/'Emission Factors and Constants'!$A$10)*'Emission Factors and Constants'!$C$70*AA23*AA32</f>
        <v>17757.907080393561</v>
      </c>
      <c r="AB113" s="92">
        <f>AB85*'Emission Factors and Constants'!$C$65+AB23*AB32*'Emission Factors and Constants'!$C$66*(1/'Emission Factors and Constants'!$A$10)*'Emission Factors and Constants'!$C$26+'Emission Factors and Constants'!$C$27*(1/'Emission Factors and Constants'!$A$10)*'Emission Factors and Constants'!$C$70*AB23*AB32</f>
        <v>17644.407068339719</v>
      </c>
      <c r="AC113" s="92">
        <f>AC85*'Emission Factors and Constants'!$C$65+AC23*AC32*'Emission Factors and Constants'!$C$66*(1/'Emission Factors and Constants'!$A$10)*'Emission Factors and Constants'!$C$26+'Emission Factors and Constants'!$C$27*(1/'Emission Factors and Constants'!$A$10)*'Emission Factors and Constants'!$C$70*AC23*AC32</f>
        <v>17545.235692409457</v>
      </c>
    </row>
    <row r="114" spans="1:31" s="134" customFormat="1" x14ac:dyDescent="0.85">
      <c r="A114" s="89" t="s">
        <v>50</v>
      </c>
      <c r="B114" s="248"/>
      <c r="C114" s="249"/>
      <c r="D114" s="249"/>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c r="AA114" s="249"/>
      <c r="AB114" s="249"/>
      <c r="AC114" s="250"/>
    </row>
    <row r="115" spans="1:31" s="32" customFormat="1" ht="20.399999999999999" x14ac:dyDescent="0.3">
      <c r="A115" s="135" t="s">
        <v>222</v>
      </c>
      <c r="B115" s="92">
        <f>B88*'Emission Factors and Constants'!$C$54+B35*B23*'Emission Factors and Constants'!$C$56*(1/'Emission Factors and Constants'!$A$10)*'Emission Factors and Constants'!$C$26+'Emission Factors and Constants'!$C$27*(1/'Emission Factors and Constants'!$A$10)*'Emission Factors and Constants'!$C$60*B35*B23</f>
        <v>352992.76985850651</v>
      </c>
      <c r="C115" s="92">
        <f>C88*'Emission Factors and Constants'!$C$54+C35*C23*'Emission Factors and Constants'!$C$56*(1/'Emission Factors and Constants'!$A$10)*'Emission Factors and Constants'!$C$26+'Emission Factors and Constants'!$C$27*(1/'Emission Factors and Constants'!$A$10)*'Emission Factors and Constants'!$C$60*C35*C23</f>
        <v>345467.47071986797</v>
      </c>
      <c r="D115" s="92">
        <f>D88*'Emission Factors and Constants'!$C$54+D35*D23*'Emission Factors and Constants'!$C$56*(1/'Emission Factors and Constants'!$A$10)*'Emission Factors and Constants'!$C$26+'Emission Factors and Constants'!$C$27*(1/'Emission Factors and Constants'!$A$10)*'Emission Factors and Constants'!$C$60*D35*D23</f>
        <v>337316.65148849535</v>
      </c>
      <c r="E115" s="92">
        <f>E88*'Emission Factors and Constants'!$C$54+E35*E23*'Emission Factors and Constants'!$C$56*(1/'Emission Factors and Constants'!$A$10)*'Emission Factors and Constants'!$C$26+'Emission Factors and Constants'!$C$27*(1/'Emission Factors and Constants'!$A$10)*'Emission Factors and Constants'!$C$60*E35*E23</f>
        <v>328961.46103170607</v>
      </c>
      <c r="F115" s="92">
        <f>F88*'Emission Factors and Constants'!$C$54+F35*F23*'Emission Factors and Constants'!$C$56*(1/'Emission Factors and Constants'!$A$10)*'Emission Factors and Constants'!$C$26+'Emission Factors and Constants'!$C$27*(1/'Emission Factors and Constants'!$A$10)*'Emission Factors and Constants'!$C$60*F35*F23</f>
        <v>320832.15690857673</v>
      </c>
      <c r="G115" s="92">
        <f>G88*'Emission Factors and Constants'!$C$54+G35*G23*'Emission Factors and Constants'!$C$56*(1/'Emission Factors and Constants'!$A$10)*'Emission Factors and Constants'!$C$26+'Emission Factors and Constants'!$C$27*(1/'Emission Factors and Constants'!$A$10)*'Emission Factors and Constants'!$C$60*G35*G23</f>
        <v>312627.34949972818</v>
      </c>
      <c r="H115" s="92">
        <f>H88*'Emission Factors and Constants'!$C$54+H35*H23*'Emission Factors and Constants'!$C$56*(1/'Emission Factors and Constants'!$A$10)*'Emission Factors and Constants'!$C$26+'Emission Factors and Constants'!$C$27*(1/'Emission Factors and Constants'!$A$10)*'Emission Factors and Constants'!$C$60*H35*H23</f>
        <v>304867.49185399385</v>
      </c>
      <c r="I115" s="92">
        <f>I88*'Emission Factors and Constants'!$C$54+I35*I23*'Emission Factors and Constants'!$C$56*(1/'Emission Factors and Constants'!$A$10)*'Emission Factors and Constants'!$C$26+'Emission Factors and Constants'!$C$27*(1/'Emission Factors and Constants'!$A$10)*'Emission Factors and Constants'!$C$60*I35*I23</f>
        <v>297549.39407438022</v>
      </c>
      <c r="J115" s="92">
        <f>J88*'Emission Factors and Constants'!$C$54+J35*J23*'Emission Factors and Constants'!$C$56*(1/'Emission Factors and Constants'!$A$10)*'Emission Factors and Constants'!$C$26+'Emission Factors and Constants'!$C$27*(1/'Emission Factors and Constants'!$A$10)*'Emission Factors and Constants'!$C$60*J35*J23</f>
        <v>290621.9042714393</v>
      </c>
      <c r="K115" s="92">
        <f>K88*'Emission Factors and Constants'!$C$54+K35*K23*'Emission Factors and Constants'!$C$56*(1/'Emission Factors and Constants'!$A$10)*'Emission Factors and Constants'!$C$26+'Emission Factors and Constants'!$C$27*(1/'Emission Factors and Constants'!$A$10)*'Emission Factors and Constants'!$C$60*K35*K23</f>
        <v>284177.89968154498</v>
      </c>
      <c r="L115" s="92">
        <f>L88*'Emission Factors and Constants'!$C$54+L35*L23*'Emission Factors and Constants'!$C$56*(1/'Emission Factors and Constants'!$A$10)*'Emission Factors and Constants'!$C$26+'Emission Factors and Constants'!$C$27*(1/'Emission Factors and Constants'!$A$10)*'Emission Factors and Constants'!$C$60*L35*L23</f>
        <v>278448.97761400469</v>
      </c>
      <c r="M115" s="92">
        <f>M88*'Emission Factors and Constants'!$C$54+M35*M23*'Emission Factors and Constants'!$C$56*(1/'Emission Factors and Constants'!$A$10)*'Emission Factors and Constants'!$C$26+'Emission Factors and Constants'!$C$27*(1/'Emission Factors and Constants'!$A$10)*'Emission Factors and Constants'!$C$60*M35*M23</f>
        <v>273074.18745986331</v>
      </c>
      <c r="N115" s="92">
        <f>N88*'Emission Factors and Constants'!$C$54+N35*N23*'Emission Factors and Constants'!$C$56*(1/'Emission Factors and Constants'!$A$10)*'Emission Factors and Constants'!$C$26+'Emission Factors and Constants'!$C$27*(1/'Emission Factors and Constants'!$A$10)*'Emission Factors and Constants'!$C$60*N35*N23</f>
        <v>268072.57903489866</v>
      </c>
      <c r="O115" s="92">
        <f>O88*'Emission Factors and Constants'!$C$54+O35*O23*'Emission Factors and Constants'!$C$56*(1/'Emission Factors and Constants'!$A$10)*'Emission Factors and Constants'!$C$26+'Emission Factors and Constants'!$C$27*(1/'Emission Factors and Constants'!$A$10)*'Emission Factors and Constants'!$C$60*O35*O23</f>
        <v>263168.15890029422</v>
      </c>
      <c r="P115" s="92">
        <f>P88*'Emission Factors and Constants'!$C$54+P35*P23*'Emission Factors and Constants'!$C$56*(1/'Emission Factors and Constants'!$A$10)*'Emission Factors and Constants'!$C$26+'Emission Factors and Constants'!$C$27*(1/'Emission Factors and Constants'!$A$10)*'Emission Factors and Constants'!$C$60*P35*P23</f>
        <v>258724.75842647653</v>
      </c>
      <c r="Q115" s="92">
        <f>Q88*'Emission Factors and Constants'!$C$54+Q35*Q23*'Emission Factors and Constants'!$C$56*(1/'Emission Factors and Constants'!$A$10)*'Emission Factors and Constants'!$C$26+'Emission Factors and Constants'!$C$27*(1/'Emission Factors and Constants'!$A$10)*'Emission Factors and Constants'!$C$60*Q35*Q23</f>
        <v>254636.0202440423</v>
      </c>
      <c r="R115" s="92">
        <f>R88*'Emission Factors and Constants'!$C$54+R35*R23*'Emission Factors and Constants'!$C$56*(1/'Emission Factors and Constants'!$A$10)*'Emission Factors and Constants'!$C$26+'Emission Factors and Constants'!$C$27*(1/'Emission Factors and Constants'!$A$10)*'Emission Factors and Constants'!$C$60*R35*R23</f>
        <v>250840.74985182664</v>
      </c>
      <c r="S115" s="92">
        <f>S88*'Emission Factors and Constants'!$C$54+S35*S23*'Emission Factors and Constants'!$C$56*(1/'Emission Factors and Constants'!$A$10)*'Emission Factors and Constants'!$C$26+'Emission Factors and Constants'!$C$27*(1/'Emission Factors and Constants'!$A$10)*'Emission Factors and Constants'!$C$60*S35*S23</f>
        <v>247400.14977303732</v>
      </c>
      <c r="T115" s="92">
        <f>T88*'Emission Factors and Constants'!$C$54+T35*T23*'Emission Factors and Constants'!$C$56*(1/'Emission Factors and Constants'!$A$10)*'Emission Factors and Constants'!$C$26+'Emission Factors and Constants'!$C$27*(1/'Emission Factors and Constants'!$A$10)*'Emission Factors and Constants'!$C$60*T35*T23</f>
        <v>244032.83290187383</v>
      </c>
      <c r="U115" s="92">
        <f>U88*'Emission Factors and Constants'!$C$54+U35*U23*'Emission Factors and Constants'!$C$56*(1/'Emission Factors and Constants'!$A$10)*'Emission Factors and Constants'!$C$26+'Emission Factors and Constants'!$C$27*(1/'Emission Factors and Constants'!$A$10)*'Emission Factors and Constants'!$C$60*U35*U23</f>
        <v>240965.1291402631</v>
      </c>
      <c r="V115" s="92">
        <f>V88*'Emission Factors and Constants'!$C$54+V35*V23*'Emission Factors and Constants'!$C$56*(1/'Emission Factors and Constants'!$A$10)*'Emission Factors and Constants'!$C$26+'Emission Factors and Constants'!$C$27*(1/'Emission Factors and Constants'!$A$10)*'Emission Factors and Constants'!$C$60*V35*V23</f>
        <v>238246.46162742682</v>
      </c>
      <c r="W115" s="92">
        <f>W88*'Emission Factors and Constants'!$C$54+W35*W23*'Emission Factors and Constants'!$C$56*(1/'Emission Factors and Constants'!$A$10)*'Emission Factors and Constants'!$C$26+'Emission Factors and Constants'!$C$27*(1/'Emission Factors and Constants'!$A$10)*'Emission Factors and Constants'!$C$60*W35*W23</f>
        <v>235944.55411211331</v>
      </c>
      <c r="X115" s="92">
        <f>X88*'Emission Factors and Constants'!$C$54+X35*X23*'Emission Factors and Constants'!$C$56*(1/'Emission Factors and Constants'!$A$10)*'Emission Factors and Constants'!$C$26+'Emission Factors and Constants'!$C$27*(1/'Emission Factors and Constants'!$A$10)*'Emission Factors and Constants'!$C$60*X35*X23</f>
        <v>233950.78201563604</v>
      </c>
      <c r="Y115" s="92">
        <f>Y88*'Emission Factors and Constants'!$C$54+Y35*Y23*'Emission Factors and Constants'!$C$56*(1/'Emission Factors and Constants'!$A$10)*'Emission Factors and Constants'!$C$26+'Emission Factors and Constants'!$C$27*(1/'Emission Factors and Constants'!$A$10)*'Emission Factors and Constants'!$C$60*Y35*Y23</f>
        <v>232049.57478697726</v>
      </c>
      <c r="Z115" s="92">
        <f>Z88*'Emission Factors and Constants'!$C$54+Z35*Z23*'Emission Factors and Constants'!$C$56*(1/'Emission Factors and Constants'!$A$10)*'Emission Factors and Constants'!$C$26+'Emission Factors and Constants'!$C$27*(1/'Emission Factors and Constants'!$A$10)*'Emission Factors and Constants'!$C$60*Z35*Z23</f>
        <v>230375.05013752007</v>
      </c>
      <c r="AA115" s="92">
        <f>AA88*'Emission Factors and Constants'!$C$54+AA35*AA23*'Emission Factors and Constants'!$C$56*(1/'Emission Factors and Constants'!$A$10)*'Emission Factors and Constants'!$C$26+'Emission Factors and Constants'!$C$27*(1/'Emission Factors and Constants'!$A$10)*'Emission Factors and Constants'!$C$60*AA35*AA23</f>
        <v>228918.88352248856</v>
      </c>
      <c r="AB115" s="92">
        <f>AB88*'Emission Factors and Constants'!$C$54+AB35*AB23*'Emission Factors and Constants'!$C$56*(1/'Emission Factors and Constants'!$A$10)*'Emission Factors and Constants'!$C$26+'Emission Factors and Constants'!$C$27*(1/'Emission Factors and Constants'!$A$10)*'Emission Factors and Constants'!$C$60*AB35*AB23</f>
        <v>227630.54268411343</v>
      </c>
      <c r="AC115" s="92">
        <f>AC88*'Emission Factors and Constants'!$C$54+AC35*AC23*'Emission Factors and Constants'!$C$56*(1/'Emission Factors and Constants'!$A$10)*'Emission Factors and Constants'!$C$26+'Emission Factors and Constants'!$C$27*(1/'Emission Factors and Constants'!$A$10)*'Emission Factors and Constants'!$C$60*AC35*AC23</f>
        <v>226508.24304285186</v>
      </c>
    </row>
    <row r="116" spans="1:31" s="32" customFormat="1" ht="20.399999999999999" x14ac:dyDescent="0.3">
      <c r="A116" s="135" t="s">
        <v>224</v>
      </c>
      <c r="B116" s="92">
        <f>B37*B23*'Emission Factors and Constants'!$C$77*(1/'Emission Factors and Constants'!$A$10)*'Emission Factors and Constants'!$C$26+'Emission Factors and Constants'!$C$27*(1/'Emission Factors and Constants'!$A$10)*'Emission Factors and Constants'!$C$80*B37*B23</f>
        <v>1600.5528528147581</v>
      </c>
      <c r="C116" s="92">
        <f>C37*C23*'Emission Factors and Constants'!$C$77*(1/'Emission Factors and Constants'!$A$10)*'Emission Factors and Constants'!$C$26+'Emission Factors and Constants'!$C$27*(1/'Emission Factors and Constants'!$A$10)*'Emission Factors and Constants'!$C$80*C37*C23</f>
        <v>1602.1182032568088</v>
      </c>
      <c r="D116" s="92">
        <f>D37*D23*'Emission Factors and Constants'!$C$77*(1/'Emission Factors and Constants'!$A$10)*'Emission Factors and Constants'!$C$26+'Emission Factors and Constants'!$C$27*(1/'Emission Factors and Constants'!$A$10)*'Emission Factors and Constants'!$C$80*D37*D23</f>
        <v>1603.3073396128896</v>
      </c>
      <c r="E116" s="92">
        <f>E37*E23*'Emission Factors and Constants'!$C$77*(1/'Emission Factors and Constants'!$A$10)*'Emission Factors and Constants'!$C$26+'Emission Factors and Constants'!$C$27*(1/'Emission Factors and Constants'!$A$10)*'Emission Factors and Constants'!$C$80*E37*E23</f>
        <v>1603.1351999257636</v>
      </c>
      <c r="F116" s="92">
        <f>F37*F23*'Emission Factors and Constants'!$C$77*(1/'Emission Factors and Constants'!$A$10)*'Emission Factors and Constants'!$C$26+'Emission Factors and Constants'!$C$27*(1/'Emission Factors and Constants'!$A$10)*'Emission Factors and Constants'!$C$80*F37*F23</f>
        <v>1602.8736379240299</v>
      </c>
      <c r="G116" s="92">
        <f>G37*G23*'Emission Factors and Constants'!$C$77*(1/'Emission Factors and Constants'!$A$10)*'Emission Factors and Constants'!$C$26+'Emission Factors and Constants'!$C$27*(1/'Emission Factors and Constants'!$A$10)*'Emission Factors and Constants'!$C$80*G37*G23</f>
        <v>1602.6552301362383</v>
      </c>
      <c r="H116" s="92">
        <f>H37*H23*'Emission Factors and Constants'!$C$77*(1/'Emission Factors and Constants'!$A$10)*'Emission Factors and Constants'!$C$26+'Emission Factors and Constants'!$C$27*(1/'Emission Factors and Constants'!$A$10)*'Emission Factors and Constants'!$C$80*H37*H23</f>
        <v>1602.3805324598743</v>
      </c>
      <c r="I116" s="92">
        <f>I37*I23*'Emission Factors and Constants'!$C$77*(1/'Emission Factors and Constants'!$A$10)*'Emission Factors and Constants'!$C$26+'Emission Factors and Constants'!$C$27*(1/'Emission Factors and Constants'!$A$10)*'Emission Factors and Constants'!$C$80*I37*I23</f>
        <v>1601.8713338898851</v>
      </c>
      <c r="J116" s="92">
        <f>J37*J23*'Emission Factors and Constants'!$C$77*(1/'Emission Factors and Constants'!$A$10)*'Emission Factors and Constants'!$C$26+'Emission Factors and Constants'!$C$27*(1/'Emission Factors and Constants'!$A$10)*'Emission Factors and Constants'!$C$80*J37*J23</f>
        <v>1599.8735944081795</v>
      </c>
      <c r="K116" s="92">
        <f>K37*K23*'Emission Factors and Constants'!$C$77*(1/'Emission Factors and Constants'!$A$10)*'Emission Factors and Constants'!$C$26+'Emission Factors and Constants'!$C$27*(1/'Emission Factors and Constants'!$A$10)*'Emission Factors and Constants'!$C$80*K37*K23</f>
        <v>1597.8524353394762</v>
      </c>
      <c r="L116" s="92">
        <f>L37*L23*'Emission Factors and Constants'!$C$77*(1/'Emission Factors and Constants'!$A$10)*'Emission Factors and Constants'!$C$26+'Emission Factors and Constants'!$C$27*(1/'Emission Factors and Constants'!$A$10)*'Emission Factors and Constants'!$C$80*L37*L23</f>
        <v>1595.8273027837556</v>
      </c>
      <c r="M116" s="92">
        <f>M37*M23*'Emission Factors and Constants'!$C$77*(1/'Emission Factors and Constants'!$A$10)*'Emission Factors and Constants'!$C$26+'Emission Factors and Constants'!$C$27*(1/'Emission Factors and Constants'!$A$10)*'Emission Factors and Constants'!$C$80*M37*M23</f>
        <v>1593.9293473623793</v>
      </c>
      <c r="N116" s="92">
        <f>N37*N23*'Emission Factors and Constants'!$C$77*(1/'Emission Factors and Constants'!$A$10)*'Emission Factors and Constants'!$C$26+'Emission Factors and Constants'!$C$27*(1/'Emission Factors and Constants'!$A$10)*'Emission Factors and Constants'!$C$80*N37*N23</f>
        <v>1592.3534717289465</v>
      </c>
      <c r="O116" s="92">
        <f>O37*O23*'Emission Factors and Constants'!$C$77*(1/'Emission Factors and Constants'!$A$10)*'Emission Factors and Constants'!$C$26+'Emission Factors and Constants'!$C$27*(1/'Emission Factors and Constants'!$A$10)*'Emission Factors and Constants'!$C$80*O37*O23</f>
        <v>1589.6902086708294</v>
      </c>
      <c r="P116" s="92">
        <f>P37*P23*'Emission Factors and Constants'!$C$77*(1/'Emission Factors and Constants'!$A$10)*'Emission Factors and Constants'!$C$26+'Emission Factors and Constants'!$C$27*(1/'Emission Factors and Constants'!$A$10)*'Emission Factors and Constants'!$C$80*P37*P23</f>
        <v>1587.6059773917507</v>
      </c>
      <c r="Q116" s="92">
        <f>Q37*Q23*'Emission Factors and Constants'!$C$77*(1/'Emission Factors and Constants'!$A$10)*'Emission Factors and Constants'!$C$26+'Emission Factors and Constants'!$C$27*(1/'Emission Factors and Constants'!$A$10)*'Emission Factors and Constants'!$C$80*Q37*Q23</f>
        <v>1586.1196980902434</v>
      </c>
      <c r="R116" s="92">
        <f>R37*R23*'Emission Factors and Constants'!$C$77*(1/'Emission Factors and Constants'!$A$10)*'Emission Factors and Constants'!$C$26+'Emission Factors and Constants'!$C$27*(1/'Emission Factors and Constants'!$A$10)*'Emission Factors and Constants'!$C$80*R37*R23</f>
        <v>1585.0685426774498</v>
      </c>
      <c r="S116" s="92">
        <f>S37*S23*'Emission Factors and Constants'!$C$77*(1/'Emission Factors and Constants'!$A$10)*'Emission Factors and Constants'!$C$26+'Emission Factors and Constants'!$C$27*(1/'Emission Factors and Constants'!$A$10)*'Emission Factors and Constants'!$C$80*S37*S23</f>
        <v>1584.3669402090927</v>
      </c>
      <c r="T116" s="92">
        <f>T37*T23*'Emission Factors and Constants'!$C$77*(1/'Emission Factors and Constants'!$A$10)*'Emission Factors and Constants'!$C$26+'Emission Factors and Constants'!$C$27*(1/'Emission Factors and Constants'!$A$10)*'Emission Factors and Constants'!$C$80*T37*T23</f>
        <v>1582.5664240514259</v>
      </c>
      <c r="U116" s="92">
        <f>U37*U23*'Emission Factors and Constants'!$C$77*(1/'Emission Factors and Constants'!$A$10)*'Emission Factors and Constants'!$C$26+'Emission Factors and Constants'!$C$27*(1/'Emission Factors and Constants'!$A$10)*'Emission Factors and Constants'!$C$80*U37*U23</f>
        <v>1580.9365222865983</v>
      </c>
      <c r="V116" s="92">
        <f>V37*V23*'Emission Factors and Constants'!$C$77*(1/'Emission Factors and Constants'!$A$10)*'Emission Factors and Constants'!$C$26+'Emission Factors and Constants'!$C$27*(1/'Emission Factors and Constants'!$A$10)*'Emission Factors and Constants'!$C$80*V37*V23</f>
        <v>1579.3994682075656</v>
      </c>
      <c r="W116" s="92">
        <f>W37*W23*'Emission Factors and Constants'!$C$77*(1/'Emission Factors and Constants'!$A$10)*'Emission Factors and Constants'!$C$26+'Emission Factors and Constants'!$C$27*(1/'Emission Factors and Constants'!$A$10)*'Emission Factors and Constants'!$C$80*W37*W23</f>
        <v>1577.9338194381437</v>
      </c>
      <c r="X116" s="92">
        <f>X37*X23*'Emission Factors and Constants'!$C$77*(1/'Emission Factors and Constants'!$A$10)*'Emission Factors and Constants'!$C$26+'Emission Factors and Constants'!$C$27*(1/'Emission Factors and Constants'!$A$10)*'Emission Factors and Constants'!$C$80*X37*X23</f>
        <v>1576.591424387575</v>
      </c>
      <c r="Y116" s="92">
        <f>Y37*Y23*'Emission Factors and Constants'!$C$77*(1/'Emission Factors and Constants'!$A$10)*'Emission Factors and Constants'!$C$26+'Emission Factors and Constants'!$C$27*(1/'Emission Factors and Constants'!$A$10)*'Emission Factors and Constants'!$C$80*Y37*Y23</f>
        <v>1574.1271260850958</v>
      </c>
      <c r="Z116" s="92">
        <f>Z37*Z23*'Emission Factors and Constants'!$C$77*(1/'Emission Factors and Constants'!$A$10)*'Emission Factors and Constants'!$C$26+'Emission Factors and Constants'!$C$27*(1/'Emission Factors and Constants'!$A$10)*'Emission Factors and Constants'!$C$80*Z37*Z23</f>
        <v>1571.601259596971</v>
      </c>
      <c r="AA116" s="92">
        <f>AA37*AA23*'Emission Factors and Constants'!$C$77*(1/'Emission Factors and Constants'!$A$10)*'Emission Factors and Constants'!$C$26+'Emission Factors and Constants'!$C$27*(1/'Emission Factors and Constants'!$A$10)*'Emission Factors and Constants'!$C$80*AA37*AA23</f>
        <v>1569.1321552704696</v>
      </c>
      <c r="AB116" s="92">
        <f>AB37*AB23*'Emission Factors and Constants'!$C$77*(1/'Emission Factors and Constants'!$A$10)*'Emission Factors and Constants'!$C$26+'Emission Factors and Constants'!$C$27*(1/'Emission Factors and Constants'!$A$10)*'Emission Factors and Constants'!$C$80*AB37*AB23</f>
        <v>1566.7184370032624</v>
      </c>
      <c r="AC116" s="92">
        <f>AC37*AC23*'Emission Factors and Constants'!$C$77*(1/'Emission Factors and Constants'!$A$10)*'Emission Factors and Constants'!$C$26+'Emission Factors and Constants'!$C$27*(1/'Emission Factors and Constants'!$A$10)*'Emission Factors and Constants'!$C$80*AC37*AC23</f>
        <v>1564.2422322836733</v>
      </c>
    </row>
    <row r="117" spans="1:31" s="32" customFormat="1" ht="20.399999999999999" x14ac:dyDescent="0.3">
      <c r="A117" s="135" t="s">
        <v>223</v>
      </c>
      <c r="B117" s="92">
        <f>B90*'Emission Factors and Constants'!$C$65+B39*B23*'Emission Factors and Constants'!$C$67*(1/'Emission Factors and Constants'!$A$10)*'Emission Factors and Constants'!$C$26+'Emission Factors and Constants'!$C$27*(1/'Emission Factors and Constants'!$A$10)*'Emission Factors and Constants'!$C$71*B39*B23</f>
        <v>14211.981334011314</v>
      </c>
      <c r="C117" s="92">
        <f>C90*'Emission Factors and Constants'!$C$65+C39*C23*'Emission Factors and Constants'!$C$67*(1/'Emission Factors and Constants'!$A$10)*'Emission Factors and Constants'!$C$26+'Emission Factors and Constants'!$C$27*(1/'Emission Factors and Constants'!$A$10)*'Emission Factors and Constants'!$C$71*C39*C23</f>
        <v>13911.383313792201</v>
      </c>
      <c r="D117" s="92">
        <f>D90*'Emission Factors and Constants'!$C$65+D39*D23*'Emission Factors and Constants'!$C$67*(1/'Emission Factors and Constants'!$A$10)*'Emission Factors and Constants'!$C$26+'Emission Factors and Constants'!$C$27*(1/'Emission Factors and Constants'!$A$10)*'Emission Factors and Constants'!$C$71*D39*D23</f>
        <v>13585.765115709421</v>
      </c>
      <c r="E117" s="92">
        <f>E90*'Emission Factors and Constants'!$C$65+E39*E23*'Emission Factors and Constants'!$C$67*(1/'Emission Factors and Constants'!$A$10)*'Emission Factors and Constants'!$C$26+'Emission Factors and Constants'!$C$27*(1/'Emission Factors and Constants'!$A$10)*'Emission Factors and Constants'!$C$71*E39*E23</f>
        <v>13251.889649981373</v>
      </c>
      <c r="F117" s="92">
        <f>F90*'Emission Factors and Constants'!$C$65+F39*F23*'Emission Factors and Constants'!$C$67*(1/'Emission Factors and Constants'!$A$10)*'Emission Factors and Constants'!$C$26+'Emission Factors and Constants'!$C$27*(1/'Emission Factors and Constants'!$A$10)*'Emission Factors and Constants'!$C$71*F39*F23</f>
        <v>12927.034380956567</v>
      </c>
      <c r="G117" s="92">
        <f>G90*'Emission Factors and Constants'!$C$65+G39*G23*'Emission Factors and Constants'!$C$67*(1/'Emission Factors and Constants'!$A$10)*'Emission Factors and Constants'!$C$26+'Emission Factors and Constants'!$C$27*(1/'Emission Factors and Constants'!$A$10)*'Emission Factors and Constants'!$C$71*G39*G23</f>
        <v>12599.164965093883</v>
      </c>
      <c r="H117" s="92">
        <f>H90*'Emission Factors and Constants'!$C$65+H39*H23*'Emission Factors and Constants'!$C$67*(1/'Emission Factors and Constants'!$A$10)*'Emission Factors and Constants'!$C$26+'Emission Factors and Constants'!$C$27*(1/'Emission Factors and Constants'!$A$10)*'Emission Factors and Constants'!$C$71*H39*H23</f>
        <v>12289.071483920832</v>
      </c>
      <c r="I117" s="92">
        <f>I90*'Emission Factors and Constants'!$C$65+I39*I23*'Emission Factors and Constants'!$C$67*(1/'Emission Factors and Constants'!$A$10)*'Emission Factors and Constants'!$C$26+'Emission Factors and Constants'!$C$27*(1/'Emission Factors and Constants'!$A$10)*'Emission Factors and Constants'!$C$71*I39*I23</f>
        <v>11996.614582541353</v>
      </c>
      <c r="J117" s="92">
        <f>J90*'Emission Factors and Constants'!$C$65+J39*J23*'Emission Factors and Constants'!$C$67*(1/'Emission Factors and Constants'!$A$10)*'Emission Factors and Constants'!$C$26+'Emission Factors and Constants'!$C$27*(1/'Emission Factors and Constants'!$A$10)*'Emission Factors and Constants'!$C$71*J39*J23</f>
        <v>11719.666619817031</v>
      </c>
      <c r="K117" s="92">
        <f>K90*'Emission Factors and Constants'!$C$65+K39*K23*'Emission Factors and Constants'!$C$67*(1/'Emission Factors and Constants'!$A$10)*'Emission Factors and Constants'!$C$26+'Emission Factors and Constants'!$C$27*(1/'Emission Factors and Constants'!$A$10)*'Emission Factors and Constants'!$C$71*K39*K23</f>
        <v>11462.03661797048</v>
      </c>
      <c r="L117" s="92">
        <f>L90*'Emission Factors and Constants'!$C$65+L39*L23*'Emission Factors and Constants'!$C$67*(1/'Emission Factors and Constants'!$A$10)*'Emission Factors and Constants'!$C$26+'Emission Factors and Constants'!$C$27*(1/'Emission Factors and Constants'!$A$10)*'Emission Factors and Constants'!$C$71*L39*L23</f>
        <v>11232.98024153101</v>
      </c>
      <c r="M117" s="92">
        <f>M90*'Emission Factors and Constants'!$C$65+M39*M23*'Emission Factors and Constants'!$C$67*(1/'Emission Factors and Constants'!$A$10)*'Emission Factors and Constants'!$C$26+'Emission Factors and Constants'!$C$27*(1/'Emission Factors and Constants'!$A$10)*'Emission Factors and Constants'!$C$71*M39*M23</f>
        <v>11018.083061901048</v>
      </c>
      <c r="N117" s="92">
        <f>N90*'Emission Factors and Constants'!$C$65+N39*N23*'Emission Factors and Constants'!$C$67*(1/'Emission Factors and Constants'!$A$10)*'Emission Factors and Constants'!$C$26+'Emission Factors and Constants'!$C$27*(1/'Emission Factors and Constants'!$A$10)*'Emission Factors and Constants'!$C$71*N39*N23</f>
        <v>10818.1192920954</v>
      </c>
      <c r="O117" s="92">
        <f>O90*'Emission Factors and Constants'!$C$65+O39*O23*'Emission Factors and Constants'!$C$67*(1/'Emission Factors and Constants'!$A$10)*'Emission Factors and Constants'!$C$26+'Emission Factors and Constants'!$C$27*(1/'Emission Factors and Constants'!$A$10)*'Emission Factors and Constants'!$C$71*O39*O23</f>
        <v>10621.96650634969</v>
      </c>
      <c r="P117" s="92">
        <f>P90*'Emission Factors and Constants'!$C$65+P39*P23*'Emission Factors and Constants'!$C$67*(1/'Emission Factors and Constants'!$A$10)*'Emission Factors and Constants'!$C$26+'Emission Factors and Constants'!$C$27*(1/'Emission Factors and Constants'!$A$10)*'Emission Factors and Constants'!$C$71*P39*P23</f>
        <v>10444.274178837073</v>
      </c>
      <c r="Q117" s="92">
        <f>Q90*'Emission Factors and Constants'!$C$65+Q39*Q23*'Emission Factors and Constants'!$C$67*(1/'Emission Factors and Constants'!$A$10)*'Emission Factors and Constants'!$C$26+'Emission Factors and Constants'!$C$27*(1/'Emission Factors and Constants'!$A$10)*'Emission Factors and Constants'!$C$71*Q39*Q23</f>
        <v>10280.793651469023</v>
      </c>
      <c r="R117" s="92">
        <f>R90*'Emission Factors and Constants'!$C$65+R39*R23*'Emission Factors and Constants'!$C$67*(1/'Emission Factors and Constants'!$A$10)*'Emission Factors and Constants'!$C$26+'Emission Factors and Constants'!$C$27*(1/'Emission Factors and Constants'!$A$10)*'Emission Factors and Constants'!$C$71*R39*R23</f>
        <v>10129.068797179452</v>
      </c>
      <c r="S117" s="92">
        <f>S90*'Emission Factors and Constants'!$C$65+S39*S23*'Emission Factors and Constants'!$C$67*(1/'Emission Factors and Constants'!$A$10)*'Emission Factors and Constants'!$C$26+'Emission Factors and Constants'!$C$27*(1/'Emission Factors and Constants'!$A$10)*'Emission Factors and Constants'!$C$71*S39*S23</f>
        <v>9991.5394904386903</v>
      </c>
      <c r="T117" s="92">
        <f>T90*'Emission Factors and Constants'!$C$65+T39*T23*'Emission Factors and Constants'!$C$67*(1/'Emission Factors and Constants'!$A$10)*'Emission Factors and Constants'!$C$26+'Emission Factors and Constants'!$C$27*(1/'Emission Factors and Constants'!$A$10)*'Emission Factors and Constants'!$C$71*T39*T23</f>
        <v>9856.8651786014889</v>
      </c>
      <c r="U117" s="92">
        <f>U90*'Emission Factors and Constants'!$C$65+U39*U23*'Emission Factors and Constants'!$C$67*(1/'Emission Factors and Constants'!$A$10)*'Emission Factors and Constants'!$C$26+'Emission Factors and Constants'!$C$27*(1/'Emission Factors and Constants'!$A$10)*'Emission Factors and Constants'!$C$71*U39*U23</f>
        <v>9734.1744518321993</v>
      </c>
      <c r="V117" s="92">
        <f>V90*'Emission Factors and Constants'!$C$65+V39*V23*'Emission Factors and Constants'!$C$67*(1/'Emission Factors and Constants'!$A$10)*'Emission Factors and Constants'!$C$26+'Emission Factors and Constants'!$C$27*(1/'Emission Factors and Constants'!$A$10)*'Emission Factors and Constants'!$C$71*V39*V23</f>
        <v>9625.4370144093828</v>
      </c>
      <c r="W117" s="92">
        <f>W90*'Emission Factors and Constants'!$C$65+W39*W23*'Emission Factors and Constants'!$C$67*(1/'Emission Factors and Constants'!$A$10)*'Emission Factors and Constants'!$C$26+'Emission Factors and Constants'!$C$27*(1/'Emission Factors and Constants'!$A$10)*'Emission Factors and Constants'!$C$71*W39*W23</f>
        <v>9533.3576002645987</v>
      </c>
      <c r="X117" s="92">
        <f>X90*'Emission Factors and Constants'!$C$65+X39*X23*'Emission Factors and Constants'!$C$67*(1/'Emission Factors and Constants'!$A$10)*'Emission Factors and Constants'!$C$26+'Emission Factors and Constants'!$C$27*(1/'Emission Factors and Constants'!$A$10)*'Emission Factors and Constants'!$C$71*X39*X23</f>
        <v>9453.5991531506916</v>
      </c>
      <c r="Y117" s="92">
        <f>Y90*'Emission Factors and Constants'!$C$65+Y39*Y23*'Emission Factors and Constants'!$C$67*(1/'Emission Factors and Constants'!$A$10)*'Emission Factors and Constants'!$C$26+'Emission Factors and Constants'!$C$27*(1/'Emission Factors and Constants'!$A$10)*'Emission Factors and Constants'!$C$71*Y39*Y23</f>
        <v>9377.4646404591731</v>
      </c>
      <c r="Z117" s="92">
        <f>Z90*'Emission Factors and Constants'!$C$65+Z39*Z23*'Emission Factors and Constants'!$C$67*(1/'Emission Factors and Constants'!$A$10)*'Emission Factors and Constants'!$C$26+'Emission Factors and Constants'!$C$27*(1/'Emission Factors and Constants'!$A$10)*'Emission Factors and Constants'!$C$71*Z39*Z23</f>
        <v>9310.3839999675074</v>
      </c>
      <c r="AA117" s="92">
        <f>AA90*'Emission Factors and Constants'!$C$65+AA39*AA23*'Emission Factors and Constants'!$C$67*(1/'Emission Factors and Constants'!$A$10)*'Emission Factors and Constants'!$C$26+'Emission Factors and Constants'!$C$27*(1/'Emission Factors and Constants'!$A$10)*'Emission Factors and Constants'!$C$71*AA39*AA23</f>
        <v>9252.0324872455694</v>
      </c>
      <c r="AB117" s="92">
        <f>AB90*'Emission Factors and Constants'!$C$65+AB39*AB23*'Emission Factors and Constants'!$C$67*(1/'Emission Factors and Constants'!$A$10)*'Emission Factors and Constants'!$C$26+'Emission Factors and Constants'!$C$27*(1/'Emission Factors and Constants'!$A$10)*'Emission Factors and Constants'!$C$71*AB39*AB23</f>
        <v>9200.3907984926318</v>
      </c>
      <c r="AC117" s="92">
        <f>AC90*'Emission Factors and Constants'!$C$65+AC39*AC23*'Emission Factors and Constants'!$C$67*(1/'Emission Factors and Constants'!$A$10)*'Emission Factors and Constants'!$C$26+'Emission Factors and Constants'!$C$27*(1/'Emission Factors and Constants'!$A$10)*'Emission Factors and Constants'!$C$71*AC39*AC23</f>
        <v>9155.3797594873977</v>
      </c>
    </row>
    <row r="118" spans="1:31" s="134" customFormat="1" x14ac:dyDescent="0.85">
      <c r="A118" s="89" t="s">
        <v>51</v>
      </c>
      <c r="B118" s="248"/>
      <c r="C118" s="249"/>
      <c r="D118" s="249"/>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c r="AA118" s="249"/>
      <c r="AB118" s="249"/>
      <c r="AC118" s="250"/>
      <c r="AE118" s="347"/>
    </row>
    <row r="119" spans="1:31" s="32" customFormat="1" ht="20.399999999999999" x14ac:dyDescent="0.3">
      <c r="A119" s="135" t="s">
        <v>222</v>
      </c>
      <c r="B119" s="92">
        <f>B93*'Emission Factors and Constants'!$C$54+B42*B23*'Emission Factors and Constants'!$C$57*(1/'Emission Factors and Constants'!$A$10)*'Emission Factors and Constants'!$C$26+'Emission Factors and Constants'!$C$27*(1/'Emission Factors and Constants'!$A$10)*'Emission Factors and Constants'!$C$61*B42*B23</f>
        <v>232953.06722372086</v>
      </c>
      <c r="C119" s="92">
        <f>C93*'Emission Factors and Constants'!$C$54+C42*C23*'Emission Factors and Constants'!$C$57*(1/'Emission Factors and Constants'!$A$10)*'Emission Factors and Constants'!$C$26+'Emission Factors and Constants'!$C$27*(1/'Emission Factors and Constants'!$A$10)*'Emission Factors and Constants'!$C$61*C42*C23</f>
        <v>228183.99930244018</v>
      </c>
      <c r="D119" s="92">
        <f>D93*'Emission Factors and Constants'!$C$54+D42*D23*'Emission Factors and Constants'!$C$57*(1/'Emission Factors and Constants'!$A$10)*'Emission Factors and Constants'!$C$26+'Emission Factors and Constants'!$C$27*(1/'Emission Factors and Constants'!$A$10)*'Emission Factors and Constants'!$C$61*D42*D23</f>
        <v>223633.90158711537</v>
      </c>
      <c r="E119" s="92">
        <f>E93*'Emission Factors and Constants'!$C$54+E42*E23*'Emission Factors and Constants'!$C$57*(1/'Emission Factors and Constants'!$A$10)*'Emission Factors and Constants'!$C$26+'Emission Factors and Constants'!$C$27*(1/'Emission Factors and Constants'!$A$10)*'Emission Factors and Constants'!$C$61*E42*E23</f>
        <v>219656.7591559877</v>
      </c>
      <c r="F119" s="92">
        <f>F93*'Emission Factors and Constants'!$C$54+F42*F23*'Emission Factors and Constants'!$C$57*(1/'Emission Factors and Constants'!$A$10)*'Emission Factors and Constants'!$C$26+'Emission Factors and Constants'!$C$27*(1/'Emission Factors and Constants'!$A$10)*'Emission Factors and Constants'!$C$61*F42*F23</f>
        <v>215835.55321239546</v>
      </c>
      <c r="G119" s="92">
        <f>G93*'Emission Factors and Constants'!$C$54+G42*G23*'Emission Factors and Constants'!$C$57*(1/'Emission Factors and Constants'!$A$10)*'Emission Factors and Constants'!$C$26+'Emission Factors and Constants'!$C$27*(1/'Emission Factors and Constants'!$A$10)*'Emission Factors and Constants'!$C$61*G42*G23</f>
        <v>212161.29822044208</v>
      </c>
      <c r="H119" s="92">
        <f>H93*'Emission Factors and Constants'!$C$54+H42*H23*'Emission Factors and Constants'!$C$57*(1/'Emission Factors and Constants'!$A$10)*'Emission Factors and Constants'!$C$26+'Emission Factors and Constants'!$C$27*(1/'Emission Factors and Constants'!$A$10)*'Emission Factors and Constants'!$C$61*H42*H23</f>
        <v>208625.68599911642</v>
      </c>
      <c r="I119" s="92">
        <f>I93*'Emission Factors and Constants'!$C$54+I42*I23*'Emission Factors and Constants'!$C$57*(1/'Emission Factors and Constants'!$A$10)*'Emission Factors and Constants'!$C$26+'Emission Factors and Constants'!$C$27*(1/'Emission Factors and Constants'!$A$10)*'Emission Factors and Constants'!$C$61*I42*I23</f>
        <v>205221.02307675351</v>
      </c>
      <c r="J119" s="92">
        <f>J93*'Emission Factors and Constants'!$C$54+J42*J23*'Emission Factors and Constants'!$C$57*(1/'Emission Factors and Constants'!$A$10)*'Emission Factors and Constants'!$C$26+'Emission Factors and Constants'!$C$27*(1/'Emission Factors and Constants'!$A$10)*'Emission Factors and Constants'!$C$61*J42*J23</f>
        <v>201980.1300110475</v>
      </c>
      <c r="K119" s="92">
        <f>K93*'Emission Factors and Constants'!$C$54+K42*K23*'Emission Factors and Constants'!$C$57*(1/'Emission Factors and Constants'!$A$10)*'Emission Factors and Constants'!$C$26+'Emission Factors and Constants'!$C$27*(1/'Emission Factors and Constants'!$A$10)*'Emission Factors and Constants'!$C$61*K42*K23</f>
        <v>198847.9450964545</v>
      </c>
      <c r="L119" s="92">
        <f>L93*'Emission Factors and Constants'!$C$54+L42*L23*'Emission Factors and Constants'!$C$57*(1/'Emission Factors and Constants'!$A$10)*'Emission Factors and Constants'!$C$26+'Emission Factors and Constants'!$C$27*(1/'Emission Factors and Constants'!$A$10)*'Emission Factors and Constants'!$C$61*L42*L23</f>
        <v>195819.09265517205</v>
      </c>
      <c r="M119" s="92">
        <f>M93*'Emission Factors and Constants'!$C$54+M42*M23*'Emission Factors and Constants'!$C$57*(1/'Emission Factors and Constants'!$A$10)*'Emission Factors and Constants'!$C$26+'Emission Factors and Constants'!$C$27*(1/'Emission Factors and Constants'!$A$10)*'Emission Factors and Constants'!$C$61*M42*M23</f>
        <v>192888.5457020122</v>
      </c>
      <c r="N119" s="92">
        <f>N93*'Emission Factors and Constants'!$C$54+N42*N23*'Emission Factors and Constants'!$C$57*(1/'Emission Factors and Constants'!$A$10)*'Emission Factors and Constants'!$C$26+'Emission Factors and Constants'!$C$27*(1/'Emission Factors and Constants'!$A$10)*'Emission Factors and Constants'!$C$61*N42*N23</f>
        <v>190051.59812318173</v>
      </c>
      <c r="O119" s="92">
        <f>O93*'Emission Factors and Constants'!$C$54+O42*O23*'Emission Factors and Constants'!$C$57*(1/'Emission Factors and Constants'!$A$10)*'Emission Factors and Constants'!$C$26+'Emission Factors and Constants'!$C$27*(1/'Emission Factors and Constants'!$A$10)*'Emission Factors and Constants'!$C$61*O42*O23</f>
        <v>188520.30286872605</v>
      </c>
      <c r="P119" s="92">
        <f>P93*'Emission Factors and Constants'!$C$54+P42*P23*'Emission Factors and Constants'!$C$57*(1/'Emission Factors and Constants'!$A$10)*'Emission Factors and Constants'!$C$26+'Emission Factors and Constants'!$C$27*(1/'Emission Factors and Constants'!$A$10)*'Emission Factors and Constants'!$C$61*P42*P23</f>
        <v>187014.00855723137</v>
      </c>
      <c r="Q119" s="92">
        <f>Q93*'Emission Factors and Constants'!$C$54+Q42*Q23*'Emission Factors and Constants'!$C$57*(1/'Emission Factors and Constants'!$A$10)*'Emission Factors and Constants'!$C$26+'Emission Factors and Constants'!$C$27*(1/'Emission Factors and Constants'!$A$10)*'Emission Factors and Constants'!$C$61*Q42*Q23</f>
        <v>185532.10794138059</v>
      </c>
      <c r="R119" s="92">
        <f>R93*'Emission Factors and Constants'!$C$54+R42*R23*'Emission Factors and Constants'!$C$57*(1/'Emission Factors and Constants'!$A$10)*'Emission Factors and Constants'!$C$26+'Emission Factors and Constants'!$C$27*(1/'Emission Factors and Constants'!$A$10)*'Emission Factors and Constants'!$C$61*R42*R23</f>
        <v>184074.01328180172</v>
      </c>
      <c r="S119" s="92">
        <f>S93*'Emission Factors and Constants'!$C$54+S42*S23*'Emission Factors and Constants'!$C$57*(1/'Emission Factors and Constants'!$A$10)*'Emission Factors and Constants'!$C$26+'Emission Factors and Constants'!$C$27*(1/'Emission Factors and Constants'!$A$10)*'Emission Factors and Constants'!$C$61*S42*S23</f>
        <v>182639.1555699383</v>
      </c>
      <c r="T119" s="92">
        <f>T93*'Emission Factors and Constants'!$C$54+T42*T23*'Emission Factors and Constants'!$C$57*(1/'Emission Factors and Constants'!$A$10)*'Emission Factors and Constants'!$C$26+'Emission Factors and Constants'!$C$27*(1/'Emission Factors and Constants'!$A$10)*'Emission Factors and Constants'!$C$61*T42*T23</f>
        <v>181033.21876404851</v>
      </c>
      <c r="U119" s="92">
        <f>U93*'Emission Factors and Constants'!$C$54+U42*U23*'Emission Factors and Constants'!$C$57*(1/'Emission Factors and Constants'!$A$10)*'Emission Factors and Constants'!$C$26+'Emission Factors and Constants'!$C$27*(1/'Emission Factors and Constants'!$A$10)*'Emission Factors and Constants'!$C$61*U42*U23</f>
        <v>179453.72144923828</v>
      </c>
      <c r="V119" s="92">
        <f>V93*'Emission Factors and Constants'!$C$54+V42*V23*'Emission Factors and Constants'!$C$57*(1/'Emission Factors and Constants'!$A$10)*'Emission Factors and Constants'!$C$26+'Emission Factors and Constants'!$C$27*(1/'Emission Factors and Constants'!$A$10)*'Emission Factors and Constants'!$C$61*V42*V23</f>
        <v>177900.01554710907</v>
      </c>
      <c r="W119" s="92">
        <f>W93*'Emission Factors and Constants'!$C$54+W42*W23*'Emission Factors and Constants'!$C$57*(1/'Emission Factors and Constants'!$A$10)*'Emission Factors and Constants'!$C$26+'Emission Factors and Constants'!$C$27*(1/'Emission Factors and Constants'!$A$10)*'Emission Factors and Constants'!$C$61*W42*W23</f>
        <v>176371.47398832723</v>
      </c>
      <c r="X119" s="92">
        <f>X93*'Emission Factors and Constants'!$C$54+X42*X23*'Emission Factors and Constants'!$C$57*(1/'Emission Factors and Constants'!$A$10)*'Emission Factors and Constants'!$C$26+'Emission Factors and Constants'!$C$27*(1/'Emission Factors and Constants'!$A$10)*'Emission Factors and Constants'!$C$61*X42*X23</f>
        <v>174867.4898681413</v>
      </c>
      <c r="Y119" s="92">
        <f>Y93*'Emission Factors and Constants'!$C$54+Y42*Y23*'Emission Factors and Constants'!$C$57*(1/'Emission Factors and Constants'!$A$10)*'Emission Factors and Constants'!$C$26+'Emission Factors and Constants'!$C$27*(1/'Emission Factors and Constants'!$A$10)*'Emission Factors and Constants'!$C$61*Y42*Y23</f>
        <v>173307.7248313179</v>
      </c>
      <c r="Z119" s="92">
        <f>Z93*'Emission Factors and Constants'!$C$54+Z42*Z23*'Emission Factors and Constants'!$C$57*(1/'Emission Factors and Constants'!$A$10)*'Emission Factors and Constants'!$C$26+'Emission Factors and Constants'!$C$27*(1/'Emission Factors and Constants'!$A$10)*'Emission Factors and Constants'!$C$61*Z42*Z23</f>
        <v>171772.01004478821</v>
      </c>
      <c r="AA119" s="92">
        <f>AA93*'Emission Factors and Constants'!$C$54+AA42*AA23*'Emission Factors and Constants'!$C$57*(1/'Emission Factors and Constants'!$A$10)*'Emission Factors and Constants'!$C$26+'Emission Factors and Constants'!$C$27*(1/'Emission Factors and Constants'!$A$10)*'Emission Factors and Constants'!$C$61*AA42*AA23</f>
        <v>170259.79262923516</v>
      </c>
      <c r="AB119" s="92">
        <f>AB93*'Emission Factors and Constants'!$C$54+AB42*AB23*'Emission Factors and Constants'!$C$57*(1/'Emission Factors and Constants'!$A$10)*'Emission Factors and Constants'!$C$26+'Emission Factors and Constants'!$C$27*(1/'Emission Factors and Constants'!$A$10)*'Emission Factors and Constants'!$C$61*AB42*AB23</f>
        <v>168770.53652296335</v>
      </c>
      <c r="AC119" s="92">
        <f>AC93*'Emission Factors and Constants'!$C$54+AC42*AC23*'Emission Factors and Constants'!$C$57*(1/'Emission Factors and Constants'!$A$10)*'Emission Factors and Constants'!$C$26+'Emission Factors and Constants'!$C$27*(1/'Emission Factors and Constants'!$A$10)*'Emission Factors and Constants'!$C$61*AC42*AC23</f>
        <v>167303.72184727219</v>
      </c>
    </row>
    <row r="120" spans="1:31" s="32" customFormat="1" ht="20.399999999999999" x14ac:dyDescent="0.3">
      <c r="A120" s="135" t="s">
        <v>224</v>
      </c>
      <c r="B120" s="92">
        <f>B43*B23*'Emission Factors and Constants'!$C$78*(1/'Emission Factors and Constants'!$A$10)*'Emission Factors and Constants'!$C$26+'Emission Factors and Constants'!$C$27*(1/'Emission Factors and Constants'!$A$10)*'Emission Factors and Constants'!$C$81*B43*B23</f>
        <v>1072.2949939375985</v>
      </c>
      <c r="C120" s="92">
        <f>C43*C23*'Emission Factors and Constants'!$C$78*(1/'Emission Factors and Constants'!$A$10)*'Emission Factors and Constants'!$C$26+'Emission Factors and Constants'!$C$27*(1/'Emission Factors and Constants'!$A$10)*'Emission Factors and Constants'!$C$81*C43*C23</f>
        <v>1075.3636855649804</v>
      </c>
      <c r="D120" s="92">
        <f>D43*D23*'Emission Factors and Constants'!$C$78*(1/'Emission Factors and Constants'!$A$10)*'Emission Factors and Constants'!$C$26+'Emission Factors and Constants'!$C$27*(1/'Emission Factors and Constants'!$A$10)*'Emission Factors and Constants'!$C$81*D43*D23</f>
        <v>1078.4323771923623</v>
      </c>
      <c r="E120" s="92">
        <f>E43*E23*'Emission Factors and Constants'!$C$78*(1/'Emission Factors and Constants'!$A$10)*'Emission Factors and Constants'!$C$26+'Emission Factors and Constants'!$C$27*(1/'Emission Factors and Constants'!$A$10)*'Emission Factors and Constants'!$C$81*E43*E23</f>
        <v>1080.645973768449</v>
      </c>
      <c r="F120" s="92">
        <f>F43*F23*'Emission Factors and Constants'!$C$78*(1/'Emission Factors and Constants'!$A$10)*'Emission Factors and Constants'!$C$26+'Emission Factors and Constants'!$C$27*(1/'Emission Factors and Constants'!$A$10)*'Emission Factors and Constants'!$C$81*F43*F23</f>
        <v>1082.859570344536</v>
      </c>
      <c r="G120" s="92">
        <f>G43*G23*'Emission Factors and Constants'!$C$78*(1/'Emission Factors and Constants'!$A$10)*'Emission Factors and Constants'!$C$26+'Emission Factors and Constants'!$C$27*(1/'Emission Factors and Constants'!$A$10)*'Emission Factors and Constants'!$C$81*G43*G23</f>
        <v>1085.073166920623</v>
      </c>
      <c r="H120" s="92">
        <f>H43*H23*'Emission Factors and Constants'!$C$78*(1/'Emission Factors and Constants'!$A$10)*'Emission Factors and Constants'!$C$26+'Emission Factors and Constants'!$C$27*(1/'Emission Factors and Constants'!$A$10)*'Emission Factors and Constants'!$C$81*H43*H23</f>
        <v>1087.2867634967097</v>
      </c>
      <c r="I120" s="92">
        <f>I43*I23*'Emission Factors and Constants'!$C$78*(1/'Emission Factors and Constants'!$A$10)*'Emission Factors and Constants'!$C$26+'Emission Factors and Constants'!$C$27*(1/'Emission Factors and Constants'!$A$10)*'Emission Factors and Constants'!$C$81*I43*I23</f>
        <v>1089.5003600727969</v>
      </c>
      <c r="J120" s="92">
        <f>J43*J23*'Emission Factors and Constants'!$C$78*(1/'Emission Factors and Constants'!$A$10)*'Emission Factors and Constants'!$C$26+'Emission Factors and Constants'!$C$27*(1/'Emission Factors and Constants'!$A$10)*'Emission Factors and Constants'!$C$81*J43*J23</f>
        <v>1090.7029679799896</v>
      </c>
      <c r="K120" s="92">
        <f>K43*K23*'Emission Factors and Constants'!$C$78*(1/'Emission Factors and Constants'!$A$10)*'Emission Factors and Constants'!$C$26+'Emission Factors and Constants'!$C$27*(1/'Emission Factors and Constants'!$A$10)*'Emission Factors and Constants'!$C$81*K43*K23</f>
        <v>1091.9055758871825</v>
      </c>
      <c r="L120" s="92">
        <f>L43*L23*'Emission Factors and Constants'!$C$78*(1/'Emission Factors and Constants'!$A$10)*'Emission Factors and Constants'!$C$26+'Emission Factors and Constants'!$C$27*(1/'Emission Factors and Constants'!$A$10)*'Emission Factors and Constants'!$C$81*L43*L23</f>
        <v>1093.1081837943752</v>
      </c>
      <c r="M120" s="92">
        <f>M43*M23*'Emission Factors and Constants'!$C$78*(1/'Emission Factors and Constants'!$A$10)*'Emission Factors and Constants'!$C$26+'Emission Factors and Constants'!$C$27*(1/'Emission Factors and Constants'!$A$10)*'Emission Factors and Constants'!$C$81*M43*M23</f>
        <v>1094.3107917015684</v>
      </c>
      <c r="N120" s="92">
        <f>N43*N23*'Emission Factors and Constants'!$C$78*(1/'Emission Factors and Constants'!$A$10)*'Emission Factors and Constants'!$C$26+'Emission Factors and Constants'!$C$27*(1/'Emission Factors and Constants'!$A$10)*'Emission Factors and Constants'!$C$81*N43*N23</f>
        <v>1095.5133996087611</v>
      </c>
      <c r="O120" s="92">
        <f>O43*O23*'Emission Factors and Constants'!$C$78*(1/'Emission Factors and Constants'!$A$10)*'Emission Factors and Constants'!$C$26+'Emission Factors and Constants'!$C$27*(1/'Emission Factors and Constants'!$A$10)*'Emission Factors and Constants'!$C$81*O43*O23</f>
        <v>1095.6064254133105</v>
      </c>
      <c r="P120" s="92">
        <f>P43*P23*'Emission Factors and Constants'!$C$78*(1/'Emission Factors and Constants'!$A$10)*'Emission Factors and Constants'!$C$26+'Emission Factors and Constants'!$C$27*(1/'Emission Factors and Constants'!$A$10)*'Emission Factors and Constants'!$C$81*P43*P23</f>
        <v>1095.6994512178599</v>
      </c>
      <c r="Q120" s="92">
        <f>Q43*Q23*'Emission Factors and Constants'!$C$78*(1/'Emission Factors and Constants'!$A$10)*'Emission Factors and Constants'!$C$26+'Emission Factors and Constants'!$C$27*(1/'Emission Factors and Constants'!$A$10)*'Emission Factors and Constants'!$C$81*Q43*Q23</f>
        <v>1095.7924770224095</v>
      </c>
      <c r="R120" s="92">
        <f>R43*R23*'Emission Factors and Constants'!$C$78*(1/'Emission Factors and Constants'!$A$10)*'Emission Factors and Constants'!$C$26+'Emission Factors and Constants'!$C$27*(1/'Emission Factors and Constants'!$A$10)*'Emission Factors and Constants'!$C$81*R43*R23</f>
        <v>1095.8855028269588</v>
      </c>
      <c r="S120" s="92">
        <f>S43*S23*'Emission Factors and Constants'!$C$78*(1/'Emission Factors and Constants'!$A$10)*'Emission Factors and Constants'!$C$26+'Emission Factors and Constants'!$C$27*(1/'Emission Factors and Constants'!$A$10)*'Emission Factors and Constants'!$C$81*S43*S23</f>
        <v>1095.9785286315082</v>
      </c>
      <c r="T120" s="92">
        <f>T43*T23*'Emission Factors and Constants'!$C$78*(1/'Emission Factors and Constants'!$A$10)*'Emission Factors and Constants'!$C$26+'Emission Factors and Constants'!$C$27*(1/'Emission Factors and Constants'!$A$10)*'Emission Factors and Constants'!$C$81*T43*T23</f>
        <v>1095.3384832580621</v>
      </c>
      <c r="U120" s="92">
        <f>U43*U23*'Emission Factors and Constants'!$C$78*(1/'Emission Factors and Constants'!$A$10)*'Emission Factors and Constants'!$C$26+'Emission Factors and Constants'!$C$27*(1/'Emission Factors and Constants'!$A$10)*'Emission Factors and Constants'!$C$81*U43*U23</f>
        <v>1094.6984378846159</v>
      </c>
      <c r="V120" s="92">
        <f>V43*V23*'Emission Factors and Constants'!$C$78*(1/'Emission Factors and Constants'!$A$10)*'Emission Factors and Constants'!$C$26+'Emission Factors and Constants'!$C$27*(1/'Emission Factors and Constants'!$A$10)*'Emission Factors and Constants'!$C$81*V43*V23</f>
        <v>1094.0583925111696</v>
      </c>
      <c r="W120" s="92">
        <f>W43*W23*'Emission Factors and Constants'!$C$78*(1/'Emission Factors and Constants'!$A$10)*'Emission Factors and Constants'!$C$26+'Emission Factors and Constants'!$C$27*(1/'Emission Factors and Constants'!$A$10)*'Emission Factors and Constants'!$C$81*W43*W23</f>
        <v>1093.4183471377235</v>
      </c>
      <c r="X120" s="92">
        <f>X43*X23*'Emission Factors and Constants'!$C$78*(1/'Emission Factors and Constants'!$A$10)*'Emission Factors and Constants'!$C$26+'Emission Factors and Constants'!$C$27*(1/'Emission Factors and Constants'!$A$10)*'Emission Factors and Constants'!$C$81*X43*X23</f>
        <v>1092.7783017642773</v>
      </c>
      <c r="Y120" s="92">
        <f>Y43*Y23*'Emission Factors and Constants'!$C$78*(1/'Emission Factors and Constants'!$A$10)*'Emission Factors and Constants'!$C$26+'Emission Factors and Constants'!$C$27*(1/'Emission Factors and Constants'!$A$10)*'Emission Factors and Constants'!$C$81*Y43*Y23</f>
        <v>1091.4260638223352</v>
      </c>
      <c r="Z120" s="92">
        <f>Z43*Z23*'Emission Factors and Constants'!$C$78*(1/'Emission Factors and Constants'!$A$10)*'Emission Factors and Constants'!$C$26+'Emission Factors and Constants'!$C$27*(1/'Emission Factors and Constants'!$A$10)*'Emission Factors and Constants'!$C$81*Z43*Z23</f>
        <v>1090.0738258803933</v>
      </c>
      <c r="AA120" s="92">
        <f>AA43*AA23*'Emission Factors and Constants'!$C$78*(1/'Emission Factors and Constants'!$A$10)*'Emission Factors and Constants'!$C$26+'Emission Factors and Constants'!$C$27*(1/'Emission Factors and Constants'!$A$10)*'Emission Factors and Constants'!$C$81*AA43*AA23</f>
        <v>1088.7215879384512</v>
      </c>
      <c r="AB120" s="92">
        <f>AB43*AB23*'Emission Factors and Constants'!$C$78*(1/'Emission Factors and Constants'!$A$10)*'Emission Factors and Constants'!$C$26+'Emission Factors and Constants'!$C$27*(1/'Emission Factors and Constants'!$A$10)*'Emission Factors and Constants'!$C$81*AB43*AB23</f>
        <v>1087.3693499965093</v>
      </c>
      <c r="AC120" s="92">
        <f>AC43*AC23*'Emission Factors and Constants'!$C$78*(1/'Emission Factors and Constants'!$A$10)*'Emission Factors and Constants'!$C$26+'Emission Factors and Constants'!$C$27*(1/'Emission Factors and Constants'!$A$10)*'Emission Factors and Constants'!$C$81*AC43*AC23</f>
        <v>1086.0171120545674</v>
      </c>
    </row>
    <row r="121" spans="1:31" s="32" customFormat="1" ht="20.399999999999999" x14ac:dyDescent="0.3">
      <c r="A121" s="135" t="s">
        <v>223</v>
      </c>
      <c r="B121" s="92">
        <f>B95*'Emission Factors and Constants'!$C$65+B44*B23*'Emission Factors and Constants'!$C$68*(1/'Emission Factors and Constants'!$A$10)*'Emission Factors and Constants'!$C$26+'Emission Factors and Constants'!$C$27*(1/'Emission Factors and Constants'!$A$10)*'Emission Factors and Constants'!$C$72*B44*B23</f>
        <v>322134.7663765396</v>
      </c>
      <c r="C121" s="92">
        <f>C95*'Emission Factors and Constants'!$C$65+C44*C23*'Emission Factors and Constants'!$C$68*(1/'Emission Factors and Constants'!$A$10)*'Emission Factors and Constants'!$C$26+'Emission Factors and Constants'!$C$27*(1/'Emission Factors and Constants'!$A$10)*'Emission Factors and Constants'!$C$72*C44*C23</f>
        <v>315521.69370334869</v>
      </c>
      <c r="D121" s="92">
        <f>D95*'Emission Factors and Constants'!$C$65+D44*D23*'Emission Factors and Constants'!$C$68*(1/'Emission Factors and Constants'!$A$10)*'Emission Factors and Constants'!$C$26+'Emission Factors and Constants'!$C$27*(1/'Emission Factors and Constants'!$A$10)*'Emission Factors and Constants'!$C$72*D44*D23</f>
        <v>309212.15530810243</v>
      </c>
      <c r="E121" s="92">
        <f>E95*'Emission Factors and Constants'!$C$65+E44*E23*'Emission Factors and Constants'!$C$68*(1/'Emission Factors and Constants'!$A$10)*'Emission Factors and Constants'!$C$26+'Emission Factors and Constants'!$C$27*(1/'Emission Factors and Constants'!$A$10)*'Emission Factors and Constants'!$C$72*E44*E23</f>
        <v>303697.46564455697</v>
      </c>
      <c r="F121" s="92">
        <f>F95*'Emission Factors and Constants'!$C$65+F44*F23*'Emission Factors and Constants'!$C$68*(1/'Emission Factors and Constants'!$A$10)*'Emission Factors and Constants'!$C$26+'Emission Factors and Constants'!$C$27*(1/'Emission Factors and Constants'!$A$10)*'Emission Factors and Constants'!$C$72*F44*F23</f>
        <v>298398.93355798727</v>
      </c>
      <c r="G121" s="92">
        <f>G95*'Emission Factors and Constants'!$C$65+G44*G23*'Emission Factors and Constants'!$C$68*(1/'Emission Factors and Constants'!$A$10)*'Emission Factors and Constants'!$C$26+'Emission Factors and Constants'!$C$27*(1/'Emission Factors and Constants'!$A$10)*'Emission Factors and Constants'!$C$72*G44*G23</f>
        <v>293304.10338969581</v>
      </c>
      <c r="H121" s="92">
        <f>H95*'Emission Factors and Constants'!$C$65+H44*H23*'Emission Factors and Constants'!$C$68*(1/'Emission Factors and Constants'!$A$10)*'Emission Factors and Constants'!$C$26+'Emission Factors and Constants'!$C$27*(1/'Emission Factors and Constants'!$A$10)*'Emission Factors and Constants'!$C$72*H44*H23</f>
        <v>288401.45842345507</v>
      </c>
      <c r="I121" s="92">
        <f>I95*'Emission Factors and Constants'!$C$65+I44*I23*'Emission Factors and Constants'!$C$68*(1/'Emission Factors and Constants'!$A$10)*'Emission Factors and Constants'!$C$26+'Emission Factors and Constants'!$C$27*(1/'Emission Factors and Constants'!$A$10)*'Emission Factors and Constants'!$C$72*I44*I23</f>
        <v>283680.33404689701</v>
      </c>
      <c r="J121" s="92">
        <f>J95*'Emission Factors and Constants'!$C$65+J44*J23*'Emission Factors and Constants'!$C$68*(1/'Emission Factors and Constants'!$A$10)*'Emission Factors and Constants'!$C$26+'Emission Factors and Constants'!$C$27*(1/'Emission Factors and Constants'!$A$10)*'Emission Factors and Constants'!$C$72*J44*J23</f>
        <v>279186.96346326958</v>
      </c>
      <c r="K121" s="92">
        <f>K95*'Emission Factors and Constants'!$C$65+K44*K23*'Emission Factors and Constants'!$C$68*(1/'Emission Factors and Constants'!$A$10)*'Emission Factors and Constants'!$C$26+'Emission Factors and Constants'!$C$27*(1/'Emission Factors and Constants'!$A$10)*'Emission Factors and Constants'!$C$72*K44*K23</f>
        <v>274844.28301582171</v>
      </c>
      <c r="L121" s="92">
        <f>L95*'Emission Factors and Constants'!$C$65+L44*L23*'Emission Factors and Constants'!$C$68*(1/'Emission Factors and Constants'!$A$10)*'Emission Factors and Constants'!$C$26+'Emission Factors and Constants'!$C$27*(1/'Emission Factors and Constants'!$A$10)*'Emission Factors and Constants'!$C$72*L44*L23</f>
        <v>270644.84099452267</v>
      </c>
      <c r="M121" s="92">
        <f>M95*'Emission Factors and Constants'!$C$65+M44*M23*'Emission Factors and Constants'!$C$68*(1/'Emission Factors and Constants'!$A$10)*'Emission Factors and Constants'!$C$26+'Emission Factors and Constants'!$C$27*(1/'Emission Factors and Constants'!$A$10)*'Emission Factors and Constants'!$C$72*M44*M23</f>
        <v>266581.66904350568</v>
      </c>
      <c r="N121" s="92">
        <f>N95*'Emission Factors and Constants'!$C$65+N44*N23*'Emission Factors and Constants'!$C$68*(1/'Emission Factors and Constants'!$A$10)*'Emission Factors and Constants'!$C$26+'Emission Factors and Constants'!$C$27*(1/'Emission Factors and Constants'!$A$10)*'Emission Factors and Constants'!$C$72*N44*N23</f>
        <v>262648.24359557615</v>
      </c>
      <c r="O121" s="92">
        <f>O95*'Emission Factors and Constants'!$C$65+O44*O23*'Emission Factors and Constants'!$C$68*(1/'Emission Factors and Constants'!$A$10)*'Emission Factors and Constants'!$C$26+'Emission Factors and Constants'!$C$27*(1/'Emission Factors and Constants'!$A$10)*'Emission Factors and Constants'!$C$72*O44*O23</f>
        <v>260525.50977221422</v>
      </c>
      <c r="P121" s="92">
        <f>P95*'Emission Factors and Constants'!$C$65+P44*P23*'Emission Factors and Constants'!$C$68*(1/'Emission Factors and Constants'!$A$10)*'Emission Factors and Constants'!$C$26+'Emission Factors and Constants'!$C$27*(1/'Emission Factors and Constants'!$A$10)*'Emission Factors and Constants'!$C$72*P44*P23</f>
        <v>258437.43200233899</v>
      </c>
      <c r="Q121" s="92">
        <f>Q95*'Emission Factors and Constants'!$C$65+Q44*Q23*'Emission Factors and Constants'!$C$68*(1/'Emission Factors and Constants'!$A$10)*'Emission Factors and Constants'!$C$26+'Emission Factors and Constants'!$C$27*(1/'Emission Factors and Constants'!$A$10)*'Emission Factors and Constants'!$C$72*Q44*Q23</f>
        <v>256383.16852588032</v>
      </c>
      <c r="R121" s="92">
        <f>R95*'Emission Factors and Constants'!$C$65+R44*R23*'Emission Factors and Constants'!$C$68*(1/'Emission Factors and Constants'!$A$10)*'Emission Factors and Constants'!$C$26+'Emission Factors and Constants'!$C$27*(1/'Emission Factors and Constants'!$A$10)*'Emission Factors and Constants'!$C$72*R44*R23</f>
        <v>254361.90462448355</v>
      </c>
      <c r="S121" s="92">
        <f>S95*'Emission Factors and Constants'!$C$65+S44*S23*'Emission Factors and Constants'!$C$68*(1/'Emission Factors and Constants'!$A$10)*'Emission Factors and Constants'!$C$26+'Emission Factors and Constants'!$C$27*(1/'Emission Factors and Constants'!$A$10)*'Emission Factors and Constants'!$C$72*S44*S23</f>
        <v>252372.85154426072</v>
      </c>
      <c r="T121" s="92">
        <f>T95*'Emission Factors and Constants'!$C$65+T44*T23*'Emission Factors and Constants'!$C$68*(1/'Emission Factors and Constants'!$A$10)*'Emission Factors and Constants'!$C$26+'Emission Factors and Constants'!$C$27*(1/'Emission Factors and Constants'!$A$10)*'Emission Factors and Constants'!$C$72*T44*T23</f>
        <v>250147.18525312954</v>
      </c>
      <c r="U121" s="92">
        <f>U95*'Emission Factors and Constants'!$C$65+U44*U23*'Emission Factors and Constants'!$C$68*(1/'Emission Factors and Constants'!$A$10)*'Emission Factors and Constants'!$C$26+'Emission Factors and Constants'!$C$27*(1/'Emission Factors and Constants'!$A$10)*'Emission Factors and Constants'!$C$72*U44*U23</f>
        <v>247958.16911629221</v>
      </c>
      <c r="V121" s="92">
        <f>V95*'Emission Factors and Constants'!$C$65+V44*V23*'Emission Factors and Constants'!$C$68*(1/'Emission Factors and Constants'!$A$10)*'Emission Factors and Constants'!$C$26+'Emission Factors and Constants'!$C$27*(1/'Emission Factors and Constants'!$A$10)*'Emission Factors and Constants'!$C$72*V44*V23</f>
        <v>245804.90477404787</v>
      </c>
      <c r="W121" s="92">
        <f>W95*'Emission Factors and Constants'!$C$65+W44*W23*'Emission Factors and Constants'!$C$68*(1/'Emission Factors and Constants'!$A$10)*'Emission Factors and Constants'!$C$26+'Emission Factors and Constants'!$C$27*(1/'Emission Factors and Constants'!$A$10)*'Emission Factors and Constants'!$C$72*W44*W23</f>
        <v>243686.52298924813</v>
      </c>
      <c r="X121" s="92">
        <f>X95*'Emission Factors and Constants'!$C$65+X44*X23*'Emission Factors and Constants'!$C$68*(1/'Emission Factors and Constants'!$A$10)*'Emission Factors and Constants'!$C$26+'Emission Factors and Constants'!$C$27*(1/'Emission Factors and Constants'!$A$10)*'Emission Factors and Constants'!$C$72*X44*X23</f>
        <v>241602.18247668369</v>
      </c>
      <c r="Y121" s="92">
        <f>Y95*'Emission Factors and Constants'!$C$65+Y44*Y23*'Emission Factors and Constants'!$C$68*(1/'Emission Factors and Constants'!$A$10)*'Emission Factors and Constants'!$C$26+'Emission Factors and Constants'!$C$27*(1/'Emission Factors and Constants'!$A$10)*'Emission Factors and Constants'!$C$72*Y44*Y23</f>
        <v>239441.03868264536</v>
      </c>
      <c r="Z121" s="92">
        <f>Z95*'Emission Factors and Constants'!$C$65+Z44*Z23*'Emission Factors and Constants'!$C$68*(1/'Emission Factors and Constants'!$A$10)*'Emission Factors and Constants'!$C$26+'Emission Factors and Constants'!$C$27*(1/'Emission Factors and Constants'!$A$10)*'Emission Factors and Constants'!$C$72*Z44*Z23</f>
        <v>237313.23310156362</v>
      </c>
      <c r="AA121" s="92">
        <f>AA95*'Emission Factors and Constants'!$C$65+AA44*AA23*'Emission Factors and Constants'!$C$68*(1/'Emission Factors and Constants'!$A$10)*'Emission Factors and Constants'!$C$26+'Emission Factors and Constants'!$C$27*(1/'Emission Factors and Constants'!$A$10)*'Emission Factors and Constants'!$C$72*AA44*AA23</f>
        <v>235217.99933773821</v>
      </c>
      <c r="AB121" s="92">
        <f>AB95*'Emission Factors and Constants'!$C$65+AB44*AB23*'Emission Factors and Constants'!$C$68*(1/'Emission Factors and Constants'!$A$10)*'Emission Factors and Constants'!$C$26+'Emission Factors and Constants'!$C$27*(1/'Emission Factors and Constants'!$A$10)*'Emission Factors and Constants'!$C$72*AB44*AB23</f>
        <v>233154.59430788577</v>
      </c>
      <c r="AC121" s="92">
        <f>AC95*'Emission Factors and Constants'!$C$65+AC44*AC23*'Emission Factors and Constants'!$C$68*(1/'Emission Factors and Constants'!$A$10)*'Emission Factors and Constants'!$C$26+'Emission Factors and Constants'!$C$27*(1/'Emission Factors and Constants'!$A$10)*'Emission Factors and Constants'!$C$72*AC44*AC23</f>
        <v>231122.29736142574</v>
      </c>
    </row>
    <row r="122" spans="1:31" s="134" customFormat="1" x14ac:dyDescent="0.85">
      <c r="A122" s="89" t="s">
        <v>203</v>
      </c>
      <c r="B122" s="248"/>
      <c r="C122" s="249"/>
      <c r="D122" s="249"/>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50"/>
    </row>
    <row r="123" spans="1:31" s="32" customFormat="1" ht="20.399999999999999" x14ac:dyDescent="0.3">
      <c r="A123" s="135" t="s">
        <v>222</v>
      </c>
      <c r="B123" s="92">
        <f>B98*'Emission Factors and Constants'!$C$54+B47*B23*'Emission Factors and Constants'!$C$58*(1/'Emission Factors and Constants'!$A$10)*'Emission Factors and Constants'!$C$26+'Emission Factors and Constants'!$C$27*(1/'Emission Factors and Constants'!$A$10)*'Emission Factors and Constants'!$C$62*B47*B23</f>
        <v>4026.6894505861228</v>
      </c>
      <c r="C123" s="92">
        <f>C98*'Emission Factors and Constants'!$C$54+C47*C23*'Emission Factors and Constants'!$C$58*(1/'Emission Factors and Constants'!$A$10)*'Emission Factors and Constants'!$C$26+'Emission Factors and Constants'!$C$27*(1/'Emission Factors and Constants'!$A$10)*'Emission Factors and Constants'!$C$62*C47*C23</f>
        <v>4038.2130222459186</v>
      </c>
      <c r="D123" s="92">
        <f>D98*'Emission Factors and Constants'!$C$54+D47*D23*'Emission Factors and Constants'!$C$58*(1/'Emission Factors and Constants'!$A$10)*'Emission Factors and Constants'!$C$26+'Emission Factors and Constants'!$C$27*(1/'Emission Factors and Constants'!$A$10)*'Emission Factors and Constants'!$C$62*D47*D23</f>
        <v>4049.736593905714</v>
      </c>
      <c r="E123" s="92">
        <f>E98*'Emission Factors and Constants'!$C$54+E47*E23*'Emission Factors and Constants'!$C$58*(1/'Emission Factors and Constants'!$A$10)*'Emission Factors and Constants'!$C$26+'Emission Factors and Constants'!$C$27*(1/'Emission Factors and Constants'!$A$10)*'Emission Factors and Constants'!$C$62*E47*E23</f>
        <v>4058.0491068160381</v>
      </c>
      <c r="F123" s="92">
        <f>F98*'Emission Factors and Constants'!$C$54+F47*F23*'Emission Factors and Constants'!$C$58*(1/'Emission Factors and Constants'!$A$10)*'Emission Factors and Constants'!$C$26+'Emission Factors and Constants'!$C$27*(1/'Emission Factors and Constants'!$A$10)*'Emission Factors and Constants'!$C$62*F47*F23</f>
        <v>4066.3616197263641</v>
      </c>
      <c r="G123" s="92">
        <f>G98*'Emission Factors and Constants'!$C$54+G47*G23*'Emission Factors and Constants'!$C$58*(1/'Emission Factors and Constants'!$A$10)*'Emission Factors and Constants'!$C$26+'Emission Factors and Constants'!$C$27*(1/'Emission Factors and Constants'!$A$10)*'Emission Factors and Constants'!$C$62*G47*G23</f>
        <v>4074.6741326366882</v>
      </c>
      <c r="H123" s="92">
        <f>H98*'Emission Factors and Constants'!$C$54+H47*H23*'Emission Factors and Constants'!$C$58*(1/'Emission Factors and Constants'!$A$10)*'Emission Factors and Constants'!$C$26+'Emission Factors and Constants'!$C$27*(1/'Emission Factors and Constants'!$A$10)*'Emission Factors and Constants'!$C$62*H47*H23</f>
        <v>4082.9866455470128</v>
      </c>
      <c r="I123" s="92">
        <f>I98*'Emission Factors and Constants'!$C$54+I47*I23*'Emission Factors and Constants'!$C$58*(1/'Emission Factors and Constants'!$A$10)*'Emission Factors and Constants'!$C$26+'Emission Factors and Constants'!$C$27*(1/'Emission Factors and Constants'!$A$10)*'Emission Factors and Constants'!$C$62*I47*I23</f>
        <v>4091.2991584573374</v>
      </c>
      <c r="J123" s="92">
        <f>J98*'Emission Factors and Constants'!$C$54+J47*J23*'Emission Factors and Constants'!$C$58*(1/'Emission Factors and Constants'!$A$10)*'Emission Factors and Constants'!$C$26+'Emission Factors and Constants'!$C$27*(1/'Emission Factors and Constants'!$A$10)*'Emission Factors and Constants'!$C$62*J47*J23</f>
        <v>4095.8151998456333</v>
      </c>
      <c r="K123" s="92">
        <f>K98*'Emission Factors and Constants'!$C$54+K47*K23*'Emission Factors and Constants'!$C$58*(1/'Emission Factors and Constants'!$A$10)*'Emission Factors and Constants'!$C$26+'Emission Factors and Constants'!$C$27*(1/'Emission Factors and Constants'!$A$10)*'Emission Factors and Constants'!$C$62*K47*K23</f>
        <v>4100.3312412339292</v>
      </c>
      <c r="L123" s="92">
        <f>L98*'Emission Factors and Constants'!$C$54+L47*L23*'Emission Factors and Constants'!$C$58*(1/'Emission Factors and Constants'!$A$10)*'Emission Factors and Constants'!$C$26+'Emission Factors and Constants'!$C$27*(1/'Emission Factors and Constants'!$A$10)*'Emission Factors and Constants'!$C$62*L47*L23</f>
        <v>4104.847282622226</v>
      </c>
      <c r="M123" s="92">
        <f>M98*'Emission Factors and Constants'!$C$54+M47*M23*'Emission Factors and Constants'!$C$58*(1/'Emission Factors and Constants'!$A$10)*'Emission Factors and Constants'!$C$26+'Emission Factors and Constants'!$C$27*(1/'Emission Factors and Constants'!$A$10)*'Emission Factors and Constants'!$C$62*M47*M23</f>
        <v>4109.3633240105219</v>
      </c>
      <c r="N123" s="92">
        <f>N98*'Emission Factors and Constants'!$C$54+N47*N23*'Emission Factors and Constants'!$C$58*(1/'Emission Factors and Constants'!$A$10)*'Emission Factors and Constants'!$C$26+'Emission Factors and Constants'!$C$27*(1/'Emission Factors and Constants'!$A$10)*'Emission Factors and Constants'!$C$62*N47*N23</f>
        <v>4113.8793653988178</v>
      </c>
      <c r="O123" s="92">
        <f>O98*'Emission Factors and Constants'!$C$54+O47*O23*'Emission Factors and Constants'!$C$58*(1/'Emission Factors and Constants'!$A$10)*'Emission Factors and Constants'!$C$26+'Emission Factors and Constants'!$C$27*(1/'Emission Factors and Constants'!$A$10)*'Emission Factors and Constants'!$C$62*O47*O23</f>
        <v>4114.2286965324429</v>
      </c>
      <c r="P123" s="92">
        <f>P98*'Emission Factors and Constants'!$C$54+P47*P23*'Emission Factors and Constants'!$C$58*(1/'Emission Factors and Constants'!$A$10)*'Emission Factors and Constants'!$C$26+'Emission Factors and Constants'!$C$27*(1/'Emission Factors and Constants'!$A$10)*'Emission Factors and Constants'!$C$62*P47*P23</f>
        <v>4114.5780276660662</v>
      </c>
      <c r="Q123" s="92">
        <f>Q98*'Emission Factors and Constants'!$C$54+Q47*Q23*'Emission Factors and Constants'!$C$58*(1/'Emission Factors and Constants'!$A$10)*'Emission Factors and Constants'!$C$26+'Emission Factors and Constants'!$C$27*(1/'Emission Factors and Constants'!$A$10)*'Emission Factors and Constants'!$C$62*Q47*Q23</f>
        <v>4114.9273587996904</v>
      </c>
      <c r="R123" s="92">
        <f>R98*'Emission Factors and Constants'!$C$54+R47*R23*'Emission Factors and Constants'!$C$58*(1/'Emission Factors and Constants'!$A$10)*'Emission Factors and Constants'!$C$26+'Emission Factors and Constants'!$C$27*(1/'Emission Factors and Constants'!$A$10)*'Emission Factors and Constants'!$C$62*R47*R23</f>
        <v>4115.2766899333137</v>
      </c>
      <c r="S123" s="92">
        <f>S98*'Emission Factors and Constants'!$C$54+S47*S23*'Emission Factors and Constants'!$C$58*(1/'Emission Factors and Constants'!$A$10)*'Emission Factors and Constants'!$C$26+'Emission Factors and Constants'!$C$27*(1/'Emission Factors and Constants'!$A$10)*'Emission Factors and Constants'!$C$62*S47*S23</f>
        <v>4115.6260210669379</v>
      </c>
      <c r="T123" s="92">
        <f>T98*'Emission Factors and Constants'!$C$54+T47*T23*'Emission Factors and Constants'!$C$58*(1/'Emission Factors and Constants'!$A$10)*'Emission Factors and Constants'!$C$26+'Emission Factors and Constants'!$C$27*(1/'Emission Factors and Constants'!$A$10)*'Emission Factors and Constants'!$C$62*T47*T23</f>
        <v>4113.2225183296096</v>
      </c>
      <c r="U123" s="92">
        <f>U98*'Emission Factors and Constants'!$C$54+U47*U23*'Emission Factors and Constants'!$C$58*(1/'Emission Factors and Constants'!$A$10)*'Emission Factors and Constants'!$C$26+'Emission Factors and Constants'!$C$27*(1/'Emission Factors and Constants'!$A$10)*'Emission Factors and Constants'!$C$62*U47*U23</f>
        <v>4110.8190155922812</v>
      </c>
      <c r="V123" s="92">
        <f>V98*'Emission Factors and Constants'!$C$54+V47*V23*'Emission Factors and Constants'!$C$58*(1/'Emission Factors and Constants'!$A$10)*'Emission Factors and Constants'!$C$26+'Emission Factors and Constants'!$C$27*(1/'Emission Factors and Constants'!$A$10)*'Emission Factors and Constants'!$C$62*V47*V23</f>
        <v>4108.4155128549537</v>
      </c>
      <c r="W123" s="92">
        <f>W98*'Emission Factors and Constants'!$C$54+W47*W23*'Emission Factors and Constants'!$C$58*(1/'Emission Factors and Constants'!$A$10)*'Emission Factors and Constants'!$C$26+'Emission Factors and Constants'!$C$27*(1/'Emission Factors and Constants'!$A$10)*'Emission Factors and Constants'!$C$62*W47*W23</f>
        <v>4106.0120101176262</v>
      </c>
      <c r="X123" s="92">
        <f>X98*'Emission Factors and Constants'!$C$54+X47*X23*'Emission Factors and Constants'!$C$58*(1/'Emission Factors and Constants'!$A$10)*'Emission Factors and Constants'!$C$26+'Emission Factors and Constants'!$C$27*(1/'Emission Factors and Constants'!$A$10)*'Emission Factors and Constants'!$C$62*X47*X23</f>
        <v>4103.6085073802969</v>
      </c>
      <c r="Y123" s="92">
        <f>Y98*'Emission Factors and Constants'!$C$54+Y47*Y23*'Emission Factors and Constants'!$C$58*(1/'Emission Factors and Constants'!$A$10)*'Emission Factors and Constants'!$C$26+'Emission Factors and Constants'!$C$27*(1/'Emission Factors and Constants'!$A$10)*'Emission Factors and Constants'!$C$62*Y47*Y23</f>
        <v>4098.5305742683413</v>
      </c>
      <c r="Z123" s="92">
        <f>Z98*'Emission Factors and Constants'!$C$54+Z47*Z23*'Emission Factors and Constants'!$C$58*(1/'Emission Factors and Constants'!$A$10)*'Emission Factors and Constants'!$C$26+'Emission Factors and Constants'!$C$27*(1/'Emission Factors and Constants'!$A$10)*'Emission Factors and Constants'!$C$62*Z47*Z23</f>
        <v>4093.4526411563857</v>
      </c>
      <c r="AA123" s="92">
        <f>AA98*'Emission Factors and Constants'!$C$54+AA47*AA23*'Emission Factors and Constants'!$C$58*(1/'Emission Factors and Constants'!$A$10)*'Emission Factors and Constants'!$C$26+'Emission Factors and Constants'!$C$27*(1/'Emission Factors and Constants'!$A$10)*'Emission Factors and Constants'!$C$62*AA47*AA23</f>
        <v>4088.37470804443</v>
      </c>
      <c r="AB123" s="92">
        <f>AB98*'Emission Factors and Constants'!$C$54+AB47*AB23*'Emission Factors and Constants'!$C$58*(1/'Emission Factors and Constants'!$A$10)*'Emission Factors and Constants'!$C$26+'Emission Factors and Constants'!$C$27*(1/'Emission Factors and Constants'!$A$10)*'Emission Factors and Constants'!$C$62*AB47*AB23</f>
        <v>4083.2967749324748</v>
      </c>
      <c r="AC123" s="92">
        <f>AC98*'Emission Factors and Constants'!$C$54+AC47*AC23*'Emission Factors and Constants'!$C$58*(1/'Emission Factors and Constants'!$A$10)*'Emission Factors and Constants'!$C$26+'Emission Factors and Constants'!$C$27*(1/'Emission Factors and Constants'!$A$10)*'Emission Factors and Constants'!$C$62*AC47*AC23</f>
        <v>4078.2188418205192</v>
      </c>
    </row>
    <row r="124" spans="1:31" s="32" customFormat="1" ht="20.399999999999999" x14ac:dyDescent="0.3">
      <c r="A124" s="135" t="s">
        <v>224</v>
      </c>
      <c r="B124" s="92">
        <f>B48*B23*'Emission Factors and Constants'!$C$77*(1/'Emission Factors and Constants'!$A$10)*'Emission Factors and Constants'!$C$26+'Emission Factors and Constants'!$C$27*(1/'Emission Factors and Constants'!$A$10)*'Emission Factors and Constants'!$C$80*B48*B23</f>
        <v>47.56952442421165</v>
      </c>
      <c r="C124" s="92">
        <f>C48*C23*'Emission Factors and Constants'!$C$77*(1/'Emission Factors and Constants'!$A$10)*'Emission Factors and Constants'!$C$26+'Emission Factors and Constants'!$C$27*(1/'Emission Factors and Constants'!$A$10)*'Emission Factors and Constants'!$C$80*C48*C23</f>
        <v>47.705658792220838</v>
      </c>
      <c r="D124" s="92">
        <f>D48*D23*'Emission Factors and Constants'!$C$77*(1/'Emission Factors and Constants'!$A$10)*'Emission Factors and Constants'!$C$26+'Emission Factors and Constants'!$C$27*(1/'Emission Factors and Constants'!$A$10)*'Emission Factors and Constants'!$C$80*D48*D23</f>
        <v>47.841793160230026</v>
      </c>
      <c r="E124" s="92">
        <f>E48*E23*'Emission Factors and Constants'!$C$77*(1/'Emission Factors and Constants'!$A$10)*'Emission Factors and Constants'!$C$26+'Emission Factors and Constants'!$C$27*(1/'Emission Factors and Constants'!$A$10)*'Emission Factors and Constants'!$C$80*E48*E23</f>
        <v>47.939993503406896</v>
      </c>
      <c r="F124" s="92">
        <f>F48*F23*'Emission Factors and Constants'!$C$77*(1/'Emission Factors and Constants'!$A$10)*'Emission Factors and Constants'!$C$26+'Emission Factors and Constants'!$C$27*(1/'Emission Factors and Constants'!$A$10)*'Emission Factors and Constants'!$C$80*F48*F23</f>
        <v>48.038193846583773</v>
      </c>
      <c r="G124" s="92">
        <f>G48*G23*'Emission Factors and Constants'!$C$77*(1/'Emission Factors and Constants'!$A$10)*'Emission Factors and Constants'!$C$26+'Emission Factors and Constants'!$C$27*(1/'Emission Factors and Constants'!$A$10)*'Emission Factors and Constants'!$C$80*G48*G23</f>
        <v>48.136394189760637</v>
      </c>
      <c r="H124" s="92">
        <f>H48*H23*'Emission Factors and Constants'!$C$77*(1/'Emission Factors and Constants'!$A$10)*'Emission Factors and Constants'!$C$26+'Emission Factors and Constants'!$C$27*(1/'Emission Factors and Constants'!$A$10)*'Emission Factors and Constants'!$C$80*H48*H23</f>
        <v>48.234594532937521</v>
      </c>
      <c r="I124" s="92">
        <f>I48*I23*'Emission Factors and Constants'!$C$77*(1/'Emission Factors and Constants'!$A$10)*'Emission Factors and Constants'!$C$26+'Emission Factors and Constants'!$C$27*(1/'Emission Factors and Constants'!$A$10)*'Emission Factors and Constants'!$C$80*I48*I23</f>
        <v>48.332794876114399</v>
      </c>
      <c r="J124" s="92">
        <f>J48*J23*'Emission Factors and Constants'!$C$77*(1/'Emission Factors and Constants'!$A$10)*'Emission Factors and Constants'!$C$26+'Emission Factors and Constants'!$C$27*(1/'Emission Factors and Constants'!$A$10)*'Emission Factors and Constants'!$C$80*J48*J23</f>
        <v>48.386145387435803</v>
      </c>
      <c r="K124" s="92">
        <f>K48*K23*'Emission Factors and Constants'!$C$77*(1/'Emission Factors and Constants'!$A$10)*'Emission Factors and Constants'!$C$26+'Emission Factors and Constants'!$C$27*(1/'Emission Factors and Constants'!$A$10)*'Emission Factors and Constants'!$C$80*K48*K23</f>
        <v>48.439495898757215</v>
      </c>
      <c r="L124" s="92">
        <f>L48*L23*'Emission Factors and Constants'!$C$77*(1/'Emission Factors and Constants'!$A$10)*'Emission Factors and Constants'!$C$26+'Emission Factors and Constants'!$C$27*(1/'Emission Factors and Constants'!$A$10)*'Emission Factors and Constants'!$C$80*L48*L23</f>
        <v>48.492846410078634</v>
      </c>
      <c r="M124" s="92">
        <f>M48*M23*'Emission Factors and Constants'!$C$77*(1/'Emission Factors and Constants'!$A$10)*'Emission Factors and Constants'!$C$26+'Emission Factors and Constants'!$C$27*(1/'Emission Factors and Constants'!$A$10)*'Emission Factors and Constants'!$C$80*M48*M23</f>
        <v>48.546196921400053</v>
      </c>
      <c r="N124" s="92">
        <f>N48*N23*'Emission Factors and Constants'!$C$77*(1/'Emission Factors and Constants'!$A$10)*'Emission Factors and Constants'!$C$26+'Emission Factors and Constants'!$C$27*(1/'Emission Factors and Constants'!$A$10)*'Emission Factors and Constants'!$C$80*N48*N23</f>
        <v>48.599547432721458</v>
      </c>
      <c r="O124" s="92">
        <f>O48*O23*'Emission Factors and Constants'!$C$77*(1/'Emission Factors and Constants'!$A$10)*'Emission Factors and Constants'!$C$26+'Emission Factors and Constants'!$C$27*(1/'Emission Factors and Constants'!$A$10)*'Emission Factors and Constants'!$C$80*O48*O23</f>
        <v>48.603674275900445</v>
      </c>
      <c r="P124" s="92">
        <f>P48*P23*'Emission Factors and Constants'!$C$77*(1/'Emission Factors and Constants'!$A$10)*'Emission Factors and Constants'!$C$26+'Emission Factors and Constants'!$C$27*(1/'Emission Factors and Constants'!$A$10)*'Emission Factors and Constants'!$C$80*P48*P23</f>
        <v>48.607801119079433</v>
      </c>
      <c r="Q124" s="92">
        <f>Q48*Q23*'Emission Factors and Constants'!$C$77*(1/'Emission Factors and Constants'!$A$10)*'Emission Factors and Constants'!$C$26+'Emission Factors and Constants'!$C$27*(1/'Emission Factors and Constants'!$A$10)*'Emission Factors and Constants'!$C$80*Q48*Q23</f>
        <v>48.611927962258434</v>
      </c>
      <c r="R124" s="92">
        <f>R48*R23*'Emission Factors and Constants'!$C$77*(1/'Emission Factors and Constants'!$A$10)*'Emission Factors and Constants'!$C$26+'Emission Factors and Constants'!$C$27*(1/'Emission Factors and Constants'!$A$10)*'Emission Factors and Constants'!$C$80*R48*R23</f>
        <v>48.616054805437415</v>
      </c>
      <c r="S124" s="92">
        <f>S48*S23*'Emission Factors and Constants'!$C$77*(1/'Emission Factors and Constants'!$A$10)*'Emission Factors and Constants'!$C$26+'Emission Factors and Constants'!$C$27*(1/'Emission Factors and Constants'!$A$10)*'Emission Factors and Constants'!$C$80*S48*S23</f>
        <v>48.620181648616409</v>
      </c>
      <c r="T124" s="92">
        <f>T48*T23*'Emission Factors and Constants'!$C$77*(1/'Emission Factors and Constants'!$A$10)*'Emission Factors and Constants'!$C$26+'Emission Factors and Constants'!$C$27*(1/'Emission Factors and Constants'!$A$10)*'Emission Factors and Constants'!$C$80*T48*T23</f>
        <v>48.591787732579412</v>
      </c>
      <c r="U124" s="92">
        <f>U48*U23*'Emission Factors and Constants'!$C$77*(1/'Emission Factors and Constants'!$A$10)*'Emission Factors and Constants'!$C$26+'Emission Factors and Constants'!$C$27*(1/'Emission Factors and Constants'!$A$10)*'Emission Factors and Constants'!$C$80*U48*U23</f>
        <v>48.563393816542415</v>
      </c>
      <c r="V124" s="92">
        <f>V48*V23*'Emission Factors and Constants'!$C$77*(1/'Emission Factors and Constants'!$A$10)*'Emission Factors and Constants'!$C$26+'Emission Factors and Constants'!$C$27*(1/'Emission Factors and Constants'!$A$10)*'Emission Factors and Constants'!$C$80*V48*V23</f>
        <v>48.534999900505426</v>
      </c>
      <c r="W124" s="92">
        <f>W48*W23*'Emission Factors and Constants'!$C$77*(1/'Emission Factors and Constants'!$A$10)*'Emission Factors and Constants'!$C$26+'Emission Factors and Constants'!$C$27*(1/'Emission Factors and Constants'!$A$10)*'Emission Factors and Constants'!$C$80*W48*W23</f>
        <v>48.506605984468436</v>
      </c>
      <c r="X124" s="92">
        <f>X48*X23*'Emission Factors and Constants'!$C$77*(1/'Emission Factors and Constants'!$A$10)*'Emission Factors and Constants'!$C$26+'Emission Factors and Constants'!$C$27*(1/'Emission Factors and Constants'!$A$10)*'Emission Factors and Constants'!$C$80*X48*X23</f>
        <v>48.478212068431439</v>
      </c>
      <c r="Y124" s="92">
        <f>Y48*Y23*'Emission Factors and Constants'!$C$77*(1/'Emission Factors and Constants'!$A$10)*'Emission Factors and Constants'!$C$26+'Emission Factors and Constants'!$C$27*(1/'Emission Factors and Constants'!$A$10)*'Emission Factors and Constants'!$C$80*Y48*Y23</f>
        <v>48.418223617333346</v>
      </c>
      <c r="Z124" s="92">
        <f>Z48*Z23*'Emission Factors and Constants'!$C$77*(1/'Emission Factors and Constants'!$A$10)*'Emission Factors and Constants'!$C$26+'Emission Factors and Constants'!$C$27*(1/'Emission Factors and Constants'!$A$10)*'Emission Factors and Constants'!$C$80*Z48*Z23</f>
        <v>48.358235166235254</v>
      </c>
      <c r="AA124" s="92">
        <f>AA48*AA23*'Emission Factors and Constants'!$C$77*(1/'Emission Factors and Constants'!$A$10)*'Emission Factors and Constants'!$C$26+'Emission Factors and Constants'!$C$27*(1/'Emission Factors and Constants'!$A$10)*'Emission Factors and Constants'!$C$80*AA48*AA23</f>
        <v>48.298246715137161</v>
      </c>
      <c r="AB124" s="92">
        <f>AB48*AB23*'Emission Factors and Constants'!$C$77*(1/'Emission Factors and Constants'!$A$10)*'Emission Factors and Constants'!$C$26+'Emission Factors and Constants'!$C$27*(1/'Emission Factors and Constants'!$A$10)*'Emission Factors and Constants'!$C$80*AB48*AB23</f>
        <v>48.238258264039075</v>
      </c>
      <c r="AC124" s="92">
        <f>AC48*AC23*'Emission Factors and Constants'!$C$77*(1/'Emission Factors and Constants'!$A$10)*'Emission Factors and Constants'!$C$26+'Emission Factors and Constants'!$C$27*(1/'Emission Factors and Constants'!$A$10)*'Emission Factors and Constants'!$C$80*AC48*AC23</f>
        <v>48.178269812940982</v>
      </c>
    </row>
    <row r="125" spans="1:31" s="134" customFormat="1" ht="25.35" customHeight="1" x14ac:dyDescent="0.7">
      <c r="A125" s="137" t="s">
        <v>273</v>
      </c>
      <c r="B125" s="130">
        <f>SUM(B108)</f>
        <v>4801.8959036844672</v>
      </c>
      <c r="C125" s="130">
        <f t="shared" ref="C125:AC125" si="48">SUM(C108)</f>
        <v>5132.8781578417902</v>
      </c>
      <c r="D125" s="130">
        <f t="shared" si="48"/>
        <v>5424.4285259815197</v>
      </c>
      <c r="E125" s="130">
        <f t="shared" si="48"/>
        <v>5668.9312384204768</v>
      </c>
      <c r="F125" s="130">
        <f t="shared" si="48"/>
        <v>5775.014815577787</v>
      </c>
      <c r="G125" s="130">
        <f t="shared" si="48"/>
        <v>5729.3341537832457</v>
      </c>
      <c r="H125" s="130">
        <f t="shared" si="48"/>
        <v>5547.4096361104203</v>
      </c>
      <c r="I125" s="130">
        <f t="shared" si="48"/>
        <v>5249.6541732669202</v>
      </c>
      <c r="J125" s="130">
        <f t="shared" si="48"/>
        <v>4765.5433638909644</v>
      </c>
      <c r="K125" s="130">
        <f t="shared" si="48"/>
        <v>4167.3027051026029</v>
      </c>
      <c r="L125" s="130">
        <f t="shared" si="48"/>
        <v>3813.6503191949764</v>
      </c>
      <c r="M125" s="130">
        <f t="shared" si="48"/>
        <v>3395.2842929258586</v>
      </c>
      <c r="N125" s="130">
        <f t="shared" si="48"/>
        <v>2916.6257501437522</v>
      </c>
      <c r="O125" s="130">
        <f t="shared" si="48"/>
        <v>2422.8631905366328</v>
      </c>
      <c r="P125" s="130">
        <f t="shared" si="48"/>
        <v>1872.5483158620102</v>
      </c>
      <c r="Q125" s="130">
        <f t="shared" si="48"/>
        <v>1277.352051848917</v>
      </c>
      <c r="R125" s="130">
        <f t="shared" si="48"/>
        <v>650.36244015431043</v>
      </c>
      <c r="S125" s="130">
        <f t="shared" si="48"/>
        <v>0</v>
      </c>
      <c r="T125" s="130">
        <f t="shared" si="48"/>
        <v>0</v>
      </c>
      <c r="U125" s="130">
        <f t="shared" si="48"/>
        <v>0</v>
      </c>
      <c r="V125" s="130">
        <f t="shared" si="48"/>
        <v>0</v>
      </c>
      <c r="W125" s="130">
        <f t="shared" si="48"/>
        <v>0</v>
      </c>
      <c r="X125" s="130">
        <f t="shared" si="48"/>
        <v>0</v>
      </c>
      <c r="Y125" s="130">
        <f t="shared" si="48"/>
        <v>0</v>
      </c>
      <c r="Z125" s="130">
        <f t="shared" si="48"/>
        <v>0</v>
      </c>
      <c r="AA125" s="130">
        <f t="shared" si="48"/>
        <v>0</v>
      </c>
      <c r="AB125" s="130">
        <f t="shared" si="48"/>
        <v>0</v>
      </c>
      <c r="AC125" s="130">
        <f t="shared" si="48"/>
        <v>0</v>
      </c>
    </row>
    <row r="126" spans="1:31" s="134" customFormat="1" ht="25.35" customHeight="1" x14ac:dyDescent="0.7">
      <c r="A126" s="137" t="s">
        <v>274</v>
      </c>
      <c r="B126" s="130">
        <f>B109</f>
        <v>131.31212085598665</v>
      </c>
      <c r="C126" s="130">
        <f t="shared" ref="C126:AC126" si="49">C109</f>
        <v>140.36312542394182</v>
      </c>
      <c r="D126" s="130">
        <f t="shared" si="49"/>
        <v>148.33582994412862</v>
      </c>
      <c r="E126" s="130">
        <f t="shared" si="49"/>
        <v>155.02197441068526</v>
      </c>
      <c r="F126" s="130">
        <f t="shared" si="49"/>
        <v>157.92292432378679</v>
      </c>
      <c r="G126" s="130">
        <f t="shared" si="49"/>
        <v>156.67374593619539</v>
      </c>
      <c r="H126" s="130">
        <f t="shared" si="49"/>
        <v>151.69885794810068</v>
      </c>
      <c r="I126" s="130">
        <f t="shared" si="49"/>
        <v>143.55646958594656</v>
      </c>
      <c r="J126" s="130">
        <f t="shared" si="49"/>
        <v>130.3180282736956</v>
      </c>
      <c r="K126" s="130">
        <f t="shared" si="49"/>
        <v>113.95860456617487</v>
      </c>
      <c r="L126" s="130">
        <f t="shared" si="49"/>
        <v>104.28766505170559</v>
      </c>
      <c r="M126" s="130">
        <f t="shared" si="49"/>
        <v>92.84707339678512</v>
      </c>
      <c r="N126" s="130">
        <f t="shared" si="49"/>
        <v>79.75772917124138</v>
      </c>
      <c r="O126" s="130">
        <f t="shared" si="49"/>
        <v>66.255352151460031</v>
      </c>
      <c r="P126" s="130">
        <f t="shared" si="49"/>
        <v>51.206501701229698</v>
      </c>
      <c r="Q126" s="130">
        <f t="shared" si="49"/>
        <v>34.930329680684636</v>
      </c>
      <c r="R126" s="130">
        <f t="shared" si="49"/>
        <v>17.784740247328127</v>
      </c>
      <c r="S126" s="130">
        <f t="shared" si="49"/>
        <v>0</v>
      </c>
      <c r="T126" s="130">
        <f t="shared" si="49"/>
        <v>0</v>
      </c>
      <c r="U126" s="130">
        <f t="shared" si="49"/>
        <v>0</v>
      </c>
      <c r="V126" s="130">
        <f t="shared" si="49"/>
        <v>0</v>
      </c>
      <c r="W126" s="130">
        <f t="shared" si="49"/>
        <v>0</v>
      </c>
      <c r="X126" s="130">
        <f t="shared" si="49"/>
        <v>0</v>
      </c>
      <c r="Y126" s="130">
        <f t="shared" si="49"/>
        <v>0</v>
      </c>
      <c r="Z126" s="130">
        <f t="shared" si="49"/>
        <v>0</v>
      </c>
      <c r="AA126" s="130">
        <f t="shared" si="49"/>
        <v>0</v>
      </c>
      <c r="AB126" s="130">
        <f t="shared" si="49"/>
        <v>0</v>
      </c>
      <c r="AC126" s="130">
        <f t="shared" si="49"/>
        <v>0</v>
      </c>
    </row>
    <row r="127" spans="1:31" s="134" customFormat="1" ht="25.35" customHeight="1" x14ac:dyDescent="0.7">
      <c r="A127" s="137" t="s">
        <v>275</v>
      </c>
      <c r="B127" s="130">
        <f>SUM(B111:B124)</f>
        <v>1790029.0653905272</v>
      </c>
      <c r="C127" s="130">
        <f t="shared" ref="C127:AC127" si="50">SUM(C111:C124)</f>
        <v>1753602.1750921397</v>
      </c>
      <c r="D127" s="130">
        <f t="shared" si="50"/>
        <v>1716163.1983550733</v>
      </c>
      <c r="E127" s="130">
        <f t="shared" si="50"/>
        <v>1678404.1406428432</v>
      </c>
      <c r="F127" s="130">
        <f t="shared" si="50"/>
        <v>1640899.5411190591</v>
      </c>
      <c r="G127" s="130">
        <f t="shared" si="50"/>
        <v>1603295.627545584</v>
      </c>
      <c r="H127" s="130">
        <f t="shared" si="50"/>
        <v>1565871.5031805588</v>
      </c>
      <c r="I127" s="130">
        <f t="shared" si="50"/>
        <v>1528968.6414129932</v>
      </c>
      <c r="J127" s="130">
        <f t="shared" si="50"/>
        <v>1493334.6045197125</v>
      </c>
      <c r="K127" s="130">
        <f t="shared" si="50"/>
        <v>1459040.5273876798</v>
      </c>
      <c r="L127" s="130">
        <f t="shared" si="50"/>
        <v>1426866.3264092966</v>
      </c>
      <c r="M127" s="130">
        <f t="shared" si="50"/>
        <v>1396358.9013490914</v>
      </c>
      <c r="N127" s="130">
        <f t="shared" si="50"/>
        <v>1366761.8312727807</v>
      </c>
      <c r="O127" s="130">
        <f t="shared" si="50"/>
        <v>1340811.9748001294</v>
      </c>
      <c r="P127" s="130">
        <f t="shared" si="50"/>
        <v>1317016.5652284501</v>
      </c>
      <c r="Q127" s="130">
        <f t="shared" si="50"/>
        <v>1295719.9606912059</v>
      </c>
      <c r="R127" s="130">
        <f t="shared" si="50"/>
        <v>1275901.6082825244</v>
      </c>
      <c r="S127" s="130">
        <f t="shared" si="50"/>
        <v>1258426.5957449898</v>
      </c>
      <c r="T127" s="130">
        <f t="shared" si="50"/>
        <v>1241405.1034752936</v>
      </c>
      <c r="U127" s="130">
        <f t="shared" si="50"/>
        <v>1226288.1635229336</v>
      </c>
      <c r="V127" s="130">
        <f t="shared" si="50"/>
        <v>1213217.5223851525</v>
      </c>
      <c r="W127" s="130">
        <f t="shared" si="50"/>
        <v>1201607.745585951</v>
      </c>
      <c r="X127" s="130">
        <f t="shared" si="50"/>
        <v>1191229.3343424678</v>
      </c>
      <c r="Y127" s="130">
        <f t="shared" si="50"/>
        <v>1181072.2191617216</v>
      </c>
      <c r="Z127" s="130">
        <f t="shared" si="50"/>
        <v>1171926.2700606619</v>
      </c>
      <c r="AA127" s="130">
        <f t="shared" si="50"/>
        <v>1163419.4166814315</v>
      </c>
      <c r="AB127" s="130">
        <f t="shared" si="50"/>
        <v>1155216.1399135422</v>
      </c>
      <c r="AC127" s="130">
        <f t="shared" si="50"/>
        <v>1147658.3171571891</v>
      </c>
    </row>
    <row r="128" spans="1:31" s="134" customFormat="1" ht="25.35" customHeight="1" x14ac:dyDescent="0.7">
      <c r="A128" s="138" t="s">
        <v>61</v>
      </c>
      <c r="B128" s="131">
        <f>SUM(B125:B127)</f>
        <v>1794962.2734150677</v>
      </c>
      <c r="C128" s="131">
        <f t="shared" ref="C128:AC128" si="51">SUM(C125:C127)</f>
        <v>1758875.4163754054</v>
      </c>
      <c r="D128" s="131">
        <f t="shared" si="51"/>
        <v>1721735.962710999</v>
      </c>
      <c r="E128" s="131">
        <f t="shared" si="51"/>
        <v>1684228.0938556744</v>
      </c>
      <c r="F128" s="131">
        <f t="shared" si="51"/>
        <v>1646832.4788589606</v>
      </c>
      <c r="G128" s="131">
        <f t="shared" si="51"/>
        <v>1609181.6354453035</v>
      </c>
      <c r="H128" s="131">
        <f t="shared" si="51"/>
        <v>1571570.6116746173</v>
      </c>
      <c r="I128" s="131">
        <f t="shared" si="51"/>
        <v>1534361.852055846</v>
      </c>
      <c r="J128" s="131">
        <f t="shared" si="51"/>
        <v>1498230.4659118771</v>
      </c>
      <c r="K128" s="131">
        <f t="shared" si="51"/>
        <v>1463321.7886973487</v>
      </c>
      <c r="L128" s="131">
        <f t="shared" si="51"/>
        <v>1430784.2643935434</v>
      </c>
      <c r="M128" s="131">
        <f t="shared" si="51"/>
        <v>1399847.0327154142</v>
      </c>
      <c r="N128" s="131">
        <f t="shared" si="51"/>
        <v>1369758.2147520958</v>
      </c>
      <c r="O128" s="131">
        <f t="shared" si="51"/>
        <v>1343301.0933428176</v>
      </c>
      <c r="P128" s="131">
        <f t="shared" si="51"/>
        <v>1318940.3200460135</v>
      </c>
      <c r="Q128" s="131">
        <f t="shared" si="51"/>
        <v>1297032.2430727356</v>
      </c>
      <c r="R128" s="131">
        <f t="shared" si="51"/>
        <v>1276569.7554629261</v>
      </c>
      <c r="S128" s="131">
        <f t="shared" si="51"/>
        <v>1258426.5957449898</v>
      </c>
      <c r="T128" s="131">
        <f t="shared" si="51"/>
        <v>1241405.1034752936</v>
      </c>
      <c r="U128" s="131">
        <f t="shared" si="51"/>
        <v>1226288.1635229336</v>
      </c>
      <c r="V128" s="131">
        <f t="shared" si="51"/>
        <v>1213217.5223851525</v>
      </c>
      <c r="W128" s="131">
        <f t="shared" si="51"/>
        <v>1201607.745585951</v>
      </c>
      <c r="X128" s="131">
        <f t="shared" si="51"/>
        <v>1191229.3343424678</v>
      </c>
      <c r="Y128" s="131">
        <f t="shared" si="51"/>
        <v>1181072.2191617216</v>
      </c>
      <c r="Z128" s="131">
        <f t="shared" si="51"/>
        <v>1171926.2700606619</v>
      </c>
      <c r="AA128" s="131">
        <f t="shared" si="51"/>
        <v>1163419.4166814315</v>
      </c>
      <c r="AB128" s="131">
        <f t="shared" si="51"/>
        <v>1155216.1399135422</v>
      </c>
      <c r="AC128" s="131">
        <f t="shared" si="51"/>
        <v>1147658.3171571891</v>
      </c>
    </row>
    <row r="129" spans="1:29" x14ac:dyDescent="0.85">
      <c r="B129" s="274"/>
    </row>
    <row r="130" spans="1:29" s="236" customFormat="1" ht="26.4" x14ac:dyDescent="0.9">
      <c r="A130" s="77" t="s">
        <v>58</v>
      </c>
      <c r="B130" s="78"/>
      <c r="C130" s="78"/>
      <c r="D130" s="78"/>
      <c r="E130" s="78"/>
      <c r="F130" s="78"/>
      <c r="G130" s="78"/>
      <c r="H130" s="78"/>
      <c r="I130" s="78"/>
      <c r="J130" s="78"/>
      <c r="K130" s="78"/>
      <c r="L130" s="78"/>
      <c r="M130" s="78"/>
      <c r="N130" s="78"/>
      <c r="O130" s="78"/>
      <c r="P130" s="78"/>
      <c r="Q130" s="78"/>
      <c r="R130" s="78"/>
      <c r="S130" s="78"/>
      <c r="T130" s="78"/>
      <c r="U130" s="78"/>
      <c r="V130" s="78"/>
      <c r="W130" s="78"/>
      <c r="X130" s="78"/>
      <c r="Y130" s="78"/>
      <c r="Z130" s="78"/>
      <c r="AA130" s="78"/>
      <c r="AB130" s="78"/>
      <c r="AC130" s="79"/>
    </row>
    <row r="131" spans="1:29" s="134" customFormat="1" x14ac:dyDescent="0.85">
      <c r="A131" s="201" t="s">
        <v>141</v>
      </c>
      <c r="B131" s="202"/>
      <c r="C131" s="202"/>
      <c r="D131" s="202"/>
      <c r="E131" s="202"/>
      <c r="F131" s="202"/>
      <c r="G131" s="202"/>
      <c r="H131" s="202"/>
      <c r="I131" s="202"/>
      <c r="J131" s="202"/>
      <c r="K131" s="202"/>
      <c r="L131" s="202"/>
      <c r="M131" s="202"/>
      <c r="N131" s="202"/>
      <c r="O131" s="202"/>
      <c r="P131" s="202"/>
      <c r="Q131" s="202"/>
      <c r="R131" s="202"/>
      <c r="S131" s="202"/>
      <c r="T131" s="202"/>
      <c r="U131" s="202"/>
      <c r="V131" s="202"/>
      <c r="W131" s="202"/>
      <c r="X131" s="202"/>
      <c r="Y131" s="202"/>
      <c r="Z131" s="202"/>
      <c r="AA131" s="202"/>
      <c r="AB131" s="202"/>
      <c r="AC131" s="203"/>
    </row>
    <row r="132" spans="1:29" s="132" customFormat="1" x14ac:dyDescent="0.7">
      <c r="A132" s="65"/>
      <c r="B132" s="2">
        <v>2023</v>
      </c>
      <c r="C132" s="2">
        <v>2024</v>
      </c>
      <c r="D132" s="2">
        <v>2025</v>
      </c>
      <c r="E132" s="2">
        <v>2026</v>
      </c>
      <c r="F132" s="2">
        <v>2027</v>
      </c>
      <c r="G132" s="2">
        <v>2028</v>
      </c>
      <c r="H132" s="2">
        <v>2029</v>
      </c>
      <c r="I132" s="2">
        <v>2030</v>
      </c>
      <c r="J132" s="2">
        <v>2031</v>
      </c>
      <c r="K132" s="2">
        <v>2032</v>
      </c>
      <c r="L132" s="2">
        <v>2033</v>
      </c>
      <c r="M132" s="2">
        <v>2034</v>
      </c>
      <c r="N132" s="2">
        <v>2035</v>
      </c>
      <c r="O132" s="2">
        <v>2036</v>
      </c>
      <c r="P132" s="2">
        <v>2037</v>
      </c>
      <c r="Q132" s="2">
        <v>2038</v>
      </c>
      <c r="R132" s="2">
        <v>2039</v>
      </c>
      <c r="S132" s="2">
        <v>2040</v>
      </c>
      <c r="T132" s="2">
        <v>2041</v>
      </c>
      <c r="U132" s="2">
        <v>2042</v>
      </c>
      <c r="V132" s="2">
        <v>2043</v>
      </c>
      <c r="W132" s="2">
        <v>2044</v>
      </c>
      <c r="X132" s="2">
        <v>2045</v>
      </c>
      <c r="Y132" s="2">
        <v>2046</v>
      </c>
      <c r="Z132" s="2">
        <v>2047</v>
      </c>
      <c r="AA132" s="2">
        <v>2048</v>
      </c>
      <c r="AB132" s="2">
        <v>2049</v>
      </c>
      <c r="AC132" s="2">
        <v>2050</v>
      </c>
    </row>
    <row r="133" spans="1:29" s="31" customFormat="1" ht="20.399999999999999" x14ac:dyDescent="0.7">
      <c r="A133" s="66" t="s">
        <v>80</v>
      </c>
      <c r="B133" s="21">
        <f>SUM(B216:B220)</f>
        <v>8588466.2692341972</v>
      </c>
      <c r="C133" s="21">
        <f>B133</f>
        <v>8588466.2692341972</v>
      </c>
      <c r="D133" s="21">
        <f t="shared" ref="D133:AC133" si="52">C133</f>
        <v>8588466.2692341972</v>
      </c>
      <c r="E133" s="21">
        <f t="shared" si="52"/>
        <v>8588466.2692341972</v>
      </c>
      <c r="F133" s="21">
        <f t="shared" si="52"/>
        <v>8588466.2692341972</v>
      </c>
      <c r="G133" s="21">
        <f t="shared" si="52"/>
        <v>8588466.2692341972</v>
      </c>
      <c r="H133" s="21">
        <f t="shared" si="52"/>
        <v>8588466.2692341972</v>
      </c>
      <c r="I133" s="21">
        <f t="shared" si="52"/>
        <v>8588466.2692341972</v>
      </c>
      <c r="J133" s="21">
        <f t="shared" si="52"/>
        <v>8588466.2692341972</v>
      </c>
      <c r="K133" s="21">
        <f t="shared" si="52"/>
        <v>8588466.2692341972</v>
      </c>
      <c r="L133" s="21">
        <f t="shared" si="52"/>
        <v>8588466.2692341972</v>
      </c>
      <c r="M133" s="21">
        <f t="shared" si="52"/>
        <v>8588466.2692341972</v>
      </c>
      <c r="N133" s="21">
        <f t="shared" si="52"/>
        <v>8588466.2692341972</v>
      </c>
      <c r="O133" s="21">
        <f t="shared" si="52"/>
        <v>8588466.2692341972</v>
      </c>
      <c r="P133" s="21">
        <f t="shared" si="52"/>
        <v>8588466.2692341972</v>
      </c>
      <c r="Q133" s="21">
        <f t="shared" si="52"/>
        <v>8588466.2692341972</v>
      </c>
      <c r="R133" s="21">
        <f t="shared" si="52"/>
        <v>8588466.2692341972</v>
      </c>
      <c r="S133" s="21">
        <f t="shared" si="52"/>
        <v>8588466.2692341972</v>
      </c>
      <c r="T133" s="21">
        <f t="shared" si="52"/>
        <v>8588466.2692341972</v>
      </c>
      <c r="U133" s="21">
        <f t="shared" si="52"/>
        <v>8588466.2692341972</v>
      </c>
      <c r="V133" s="21">
        <f t="shared" si="52"/>
        <v>8588466.2692341972</v>
      </c>
      <c r="W133" s="21">
        <f t="shared" si="52"/>
        <v>8588466.2692341972</v>
      </c>
      <c r="X133" s="21">
        <f t="shared" si="52"/>
        <v>8588466.2692341972</v>
      </c>
      <c r="Y133" s="21">
        <f t="shared" si="52"/>
        <v>8588466.2692341972</v>
      </c>
      <c r="Z133" s="21">
        <f t="shared" si="52"/>
        <v>8588466.2692341972</v>
      </c>
      <c r="AA133" s="21">
        <f t="shared" si="52"/>
        <v>8588466.2692341972</v>
      </c>
      <c r="AB133" s="21">
        <f t="shared" si="52"/>
        <v>8588466.2692341972</v>
      </c>
      <c r="AC133" s="21">
        <f t="shared" si="52"/>
        <v>8588466.2692341972</v>
      </c>
    </row>
    <row r="134" spans="1:29" s="134" customFormat="1" x14ac:dyDescent="0.85">
      <c r="A134" s="89" t="s">
        <v>271</v>
      </c>
      <c r="B134" s="249"/>
      <c r="C134" s="249"/>
      <c r="D134" s="249"/>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c r="AA134" s="249"/>
      <c r="AB134" s="249"/>
      <c r="AC134" s="250"/>
    </row>
    <row r="135" spans="1:29" s="31" customFormat="1" ht="20.399999999999999" x14ac:dyDescent="0.7">
      <c r="A135" s="66" t="s">
        <v>206</v>
      </c>
      <c r="B135" s="18">
        <f>C216</f>
        <v>3.6315875589160588E-3</v>
      </c>
      <c r="C135" s="18">
        <f>B135+IF('Business As Usual'!$B$17="Low",('Forecast Parameters'!E193-'Forecast Parameters'!D193),('Forecast Parameters'!E185-'Forecast Parameters'!D185))</f>
        <v>3.6315875589160588E-3</v>
      </c>
      <c r="D135" s="18">
        <f>C135+IF('Business As Usual'!$B$17="Low",('Forecast Parameters'!F193-'Forecast Parameters'!E193),('Forecast Parameters'!F185-'Forecast Parameters'!E185))</f>
        <v>3.6315875589160588E-3</v>
      </c>
      <c r="E135" s="18">
        <f>D135+IF('Business As Usual'!$B$17="Low",('Forecast Parameters'!G193-'Forecast Parameters'!F193),('Forecast Parameters'!G185-'Forecast Parameters'!F185))</f>
        <v>3.6315875589160588E-3</v>
      </c>
      <c r="F135" s="18">
        <f>E135+IF('Business As Usual'!$B$17="Low",('Forecast Parameters'!H193-'Forecast Parameters'!G193),('Forecast Parameters'!H185-'Forecast Parameters'!G185))</f>
        <v>3.6315875589160588E-3</v>
      </c>
      <c r="G135" s="18">
        <f>F135+IF('Business As Usual'!$B$17="Low",('Forecast Parameters'!I193-'Forecast Parameters'!H193),('Forecast Parameters'!I185-'Forecast Parameters'!H185))</f>
        <v>3.6315875589160588E-3</v>
      </c>
      <c r="H135" s="18">
        <f>G135+IF('Business As Usual'!$B$17="Low",('Forecast Parameters'!J193-'Forecast Parameters'!I193),('Forecast Parameters'!J185-'Forecast Parameters'!I185))</f>
        <v>3.6315875589160588E-3</v>
      </c>
      <c r="I135" s="18">
        <f>H135+IF('Business As Usual'!$B$17="Low",('Forecast Parameters'!K193-'Forecast Parameters'!J193),('Forecast Parameters'!K185-'Forecast Parameters'!J185))</f>
        <v>3.6315875589160588E-3</v>
      </c>
      <c r="J135" s="18">
        <f>I135+IF('Business As Usual'!$B$17="Low",('Forecast Parameters'!L193-'Forecast Parameters'!K193),('Forecast Parameters'!L185-'Forecast Parameters'!K185))</f>
        <v>3.6315875589160588E-3</v>
      </c>
      <c r="K135" s="18">
        <f>J135+IF('Business As Usual'!$B$17="Low",('Forecast Parameters'!M193-'Forecast Parameters'!L193),('Forecast Parameters'!M185-'Forecast Parameters'!L185))</f>
        <v>3.6315875589160588E-3</v>
      </c>
      <c r="L135" s="18">
        <f>K135+IF('Business As Usual'!$B$17="Low",('Forecast Parameters'!N193-'Forecast Parameters'!M193),('Forecast Parameters'!N185-'Forecast Parameters'!M185))</f>
        <v>3.6315875589160588E-3</v>
      </c>
      <c r="M135" s="18">
        <f>L135+IF('Business As Usual'!$B$17="Low",('Forecast Parameters'!O193-'Forecast Parameters'!N193),('Forecast Parameters'!O185-'Forecast Parameters'!N185))</f>
        <v>3.6315875589160588E-3</v>
      </c>
      <c r="N135" s="18">
        <f>M135+IF('Business As Usual'!$B$17="Low",('Forecast Parameters'!P193-'Forecast Parameters'!O193),('Forecast Parameters'!P185-'Forecast Parameters'!O185))</f>
        <v>3.6315875589160588E-3</v>
      </c>
      <c r="O135" s="18">
        <f>N135+IF('Business As Usual'!$B$17="Low",('Forecast Parameters'!Q193-'Forecast Parameters'!P193),('Forecast Parameters'!Q185-'Forecast Parameters'!P185))</f>
        <v>3.6315875589160588E-3</v>
      </c>
      <c r="P135" s="18">
        <f>O135+IF('Business As Usual'!$B$17="Low",('Forecast Parameters'!R193-'Forecast Parameters'!Q193),('Forecast Parameters'!R185-'Forecast Parameters'!Q185))</f>
        <v>3.6315875589160588E-3</v>
      </c>
      <c r="Q135" s="18">
        <f>P135+IF('Business As Usual'!$B$17="Low",('Forecast Parameters'!S193-'Forecast Parameters'!R193),('Forecast Parameters'!S185-'Forecast Parameters'!R185))</f>
        <v>3.6315875589160588E-3</v>
      </c>
      <c r="R135" s="18">
        <f>Q135+IF('Business As Usual'!$B$17="Low",('Forecast Parameters'!T193-'Forecast Parameters'!S193),('Forecast Parameters'!T185-'Forecast Parameters'!S185))</f>
        <v>3.6315875589160588E-3</v>
      </c>
      <c r="S135" s="18">
        <f>R135+IF('Business As Usual'!$B$17="Low",('Forecast Parameters'!U193-'Forecast Parameters'!T193),('Forecast Parameters'!U185-'Forecast Parameters'!T185))</f>
        <v>3.6315875589160588E-3</v>
      </c>
      <c r="T135" s="18">
        <f>S135+IF('Business As Usual'!$B$17="Low",('Forecast Parameters'!V193-'Forecast Parameters'!U193),('Forecast Parameters'!V185-'Forecast Parameters'!U185))</f>
        <v>3.6315875589160588E-3</v>
      </c>
      <c r="U135" s="18">
        <f>T135+IF('Business As Usual'!$B$17="Low",('Forecast Parameters'!W193-'Forecast Parameters'!V193),('Forecast Parameters'!W185-'Forecast Parameters'!V185))</f>
        <v>3.6315875589160588E-3</v>
      </c>
      <c r="V135" s="18">
        <f>U135+IF('Business As Usual'!$B$17="Low",('Forecast Parameters'!X193-'Forecast Parameters'!W193),('Forecast Parameters'!X185-'Forecast Parameters'!W185))</f>
        <v>3.6315875589160588E-3</v>
      </c>
      <c r="W135" s="18">
        <f>V135+IF('Business As Usual'!$B$17="Low",('Forecast Parameters'!Y193-'Forecast Parameters'!X193),('Forecast Parameters'!Y185-'Forecast Parameters'!X185))</f>
        <v>3.6315875589160588E-3</v>
      </c>
      <c r="X135" s="18">
        <f>W135+IF('Business As Usual'!$B$17="Low",('Forecast Parameters'!Z193-'Forecast Parameters'!Y193),('Forecast Parameters'!Z185-'Forecast Parameters'!Y185))</f>
        <v>3.6315875589160588E-3</v>
      </c>
      <c r="Y135" s="18">
        <f>X135+IF('Business As Usual'!$B$17="Low",('Forecast Parameters'!AA193-'Forecast Parameters'!Z193),('Forecast Parameters'!AA185-'Forecast Parameters'!Z185))</f>
        <v>3.6315875589160588E-3</v>
      </c>
      <c r="Z135" s="18">
        <f>Y135+IF('Business As Usual'!$B$17="Low",('Forecast Parameters'!AB193-'Forecast Parameters'!AA193),('Forecast Parameters'!AB185-'Forecast Parameters'!AA185))</f>
        <v>3.6315875589160588E-3</v>
      </c>
      <c r="AA135" s="18">
        <f>Z135+IF('Business As Usual'!$B$17="Low",('Forecast Parameters'!AC193-'Forecast Parameters'!AB193),('Forecast Parameters'!AC185-'Forecast Parameters'!AB185))</f>
        <v>3.6315875589160588E-3</v>
      </c>
      <c r="AB135" s="18">
        <f>AA135+IF('Business As Usual'!$B$17="Low",('Forecast Parameters'!AD193-'Forecast Parameters'!AC193),('Forecast Parameters'!AD185-'Forecast Parameters'!AC185))</f>
        <v>3.6315875589160588E-3</v>
      </c>
      <c r="AC135" s="18">
        <f>AB135+IF('Business As Usual'!$B$17="Low",('Forecast Parameters'!AE193-'Forecast Parameters'!AD193),('Forecast Parameters'!AE185-'Forecast Parameters'!AD185))</f>
        <v>3.6315875589160588E-3</v>
      </c>
    </row>
    <row r="136" spans="1:29" s="32" customFormat="1" ht="20.399999999999999" x14ac:dyDescent="0.3">
      <c r="A136" s="66" t="s">
        <v>270</v>
      </c>
      <c r="B136" s="18">
        <f>C217</f>
        <v>0.10341523538972471</v>
      </c>
      <c r="C136" s="20">
        <f>B136-(C135-B135)*($B$136/SUM($B$136:$B$139))</f>
        <v>0.10341523538972471</v>
      </c>
      <c r="D136" s="20">
        <f t="shared" ref="D136:AC136" si="53">C136-(D135-C135)*($B$136/SUM($B$136:$B$139))</f>
        <v>0.10341523538972471</v>
      </c>
      <c r="E136" s="20">
        <f t="shared" si="53"/>
        <v>0.10341523538972471</v>
      </c>
      <c r="F136" s="20">
        <f t="shared" si="53"/>
        <v>0.10341523538972471</v>
      </c>
      <c r="G136" s="20">
        <f t="shared" si="53"/>
        <v>0.10341523538972471</v>
      </c>
      <c r="H136" s="20">
        <f t="shared" si="53"/>
        <v>0.10341523538972471</v>
      </c>
      <c r="I136" s="20">
        <f t="shared" si="53"/>
        <v>0.10341523538972471</v>
      </c>
      <c r="J136" s="20">
        <f t="shared" si="53"/>
        <v>0.10341523538972471</v>
      </c>
      <c r="K136" s="20">
        <f t="shared" si="53"/>
        <v>0.10341523538972471</v>
      </c>
      <c r="L136" s="20">
        <f t="shared" si="53"/>
        <v>0.10341523538972471</v>
      </c>
      <c r="M136" s="20">
        <f t="shared" si="53"/>
        <v>0.10341523538972471</v>
      </c>
      <c r="N136" s="20">
        <f t="shared" si="53"/>
        <v>0.10341523538972471</v>
      </c>
      <c r="O136" s="20">
        <f t="shared" si="53"/>
        <v>0.10341523538972471</v>
      </c>
      <c r="P136" s="20">
        <f t="shared" si="53"/>
        <v>0.10341523538972471</v>
      </c>
      <c r="Q136" s="20">
        <f t="shared" si="53"/>
        <v>0.10341523538972471</v>
      </c>
      <c r="R136" s="20">
        <f t="shared" si="53"/>
        <v>0.10341523538972471</v>
      </c>
      <c r="S136" s="20">
        <f t="shared" si="53"/>
        <v>0.10341523538972471</v>
      </c>
      <c r="T136" s="20">
        <f t="shared" si="53"/>
        <v>0.10341523538972471</v>
      </c>
      <c r="U136" s="20">
        <f t="shared" si="53"/>
        <v>0.10341523538972471</v>
      </c>
      <c r="V136" s="20">
        <f t="shared" si="53"/>
        <v>0.10341523538972471</v>
      </c>
      <c r="W136" s="20">
        <f t="shared" si="53"/>
        <v>0.10341523538972471</v>
      </c>
      <c r="X136" s="20">
        <f t="shared" si="53"/>
        <v>0.10341523538972471</v>
      </c>
      <c r="Y136" s="20">
        <f t="shared" si="53"/>
        <v>0.10341523538972471</v>
      </c>
      <c r="Z136" s="20">
        <f t="shared" si="53"/>
        <v>0.10341523538972471</v>
      </c>
      <c r="AA136" s="20">
        <f t="shared" si="53"/>
        <v>0.10341523538972471</v>
      </c>
      <c r="AB136" s="20">
        <f t="shared" si="53"/>
        <v>0.10341523538972471</v>
      </c>
      <c r="AC136" s="20">
        <f t="shared" si="53"/>
        <v>0.10341523538972471</v>
      </c>
    </row>
    <row r="137" spans="1:29" s="32" customFormat="1" ht="20.399999999999999" x14ac:dyDescent="0.3">
      <c r="A137" s="66" t="s">
        <v>44</v>
      </c>
      <c r="B137" s="18">
        <f t="shared" ref="B137:B139" si="54">C218</f>
        <v>0.26359393971304035</v>
      </c>
      <c r="C137" s="20">
        <f>B137-(C135-B135)*($B$137/SUM($B$136:$B$139))</f>
        <v>0.26359393971304035</v>
      </c>
      <c r="D137" s="20">
        <f t="shared" ref="D137:AC137" si="55">C137-(D135-C135)*($B$137/SUM($B$136:$B$139))</f>
        <v>0.26359393971304035</v>
      </c>
      <c r="E137" s="20">
        <f t="shared" si="55"/>
        <v>0.26359393971304035</v>
      </c>
      <c r="F137" s="20">
        <f t="shared" si="55"/>
        <v>0.26359393971304035</v>
      </c>
      <c r="G137" s="20">
        <f t="shared" si="55"/>
        <v>0.26359393971304035</v>
      </c>
      <c r="H137" s="20">
        <f t="shared" si="55"/>
        <v>0.26359393971304035</v>
      </c>
      <c r="I137" s="20">
        <f t="shared" si="55"/>
        <v>0.26359393971304035</v>
      </c>
      <c r="J137" s="20">
        <f t="shared" si="55"/>
        <v>0.26359393971304035</v>
      </c>
      <c r="K137" s="20">
        <f t="shared" si="55"/>
        <v>0.26359393971304035</v>
      </c>
      <c r="L137" s="20">
        <f t="shared" si="55"/>
        <v>0.26359393971304035</v>
      </c>
      <c r="M137" s="20">
        <f t="shared" si="55"/>
        <v>0.26359393971304035</v>
      </c>
      <c r="N137" s="20">
        <f t="shared" si="55"/>
        <v>0.26359393971304035</v>
      </c>
      <c r="O137" s="20">
        <f t="shared" si="55"/>
        <v>0.26359393971304035</v>
      </c>
      <c r="P137" s="20">
        <f t="shared" si="55"/>
        <v>0.26359393971304035</v>
      </c>
      <c r="Q137" s="20">
        <f t="shared" si="55"/>
        <v>0.26359393971304035</v>
      </c>
      <c r="R137" s="20">
        <f t="shared" si="55"/>
        <v>0.26359393971304035</v>
      </c>
      <c r="S137" s="20">
        <f t="shared" si="55"/>
        <v>0.26359393971304035</v>
      </c>
      <c r="T137" s="20">
        <f t="shared" si="55"/>
        <v>0.26359393971304035</v>
      </c>
      <c r="U137" s="20">
        <f t="shared" si="55"/>
        <v>0.26359393971304035</v>
      </c>
      <c r="V137" s="20">
        <f t="shared" si="55"/>
        <v>0.26359393971304035</v>
      </c>
      <c r="W137" s="20">
        <f t="shared" si="55"/>
        <v>0.26359393971304035</v>
      </c>
      <c r="X137" s="20">
        <f t="shared" si="55"/>
        <v>0.26359393971304035</v>
      </c>
      <c r="Y137" s="20">
        <f t="shared" si="55"/>
        <v>0.26359393971304035</v>
      </c>
      <c r="Z137" s="20">
        <f t="shared" si="55"/>
        <v>0.26359393971304035</v>
      </c>
      <c r="AA137" s="20">
        <f t="shared" si="55"/>
        <v>0.26359393971304035</v>
      </c>
      <c r="AB137" s="20">
        <f t="shared" si="55"/>
        <v>0.26359393971304035</v>
      </c>
      <c r="AC137" s="20">
        <f t="shared" si="55"/>
        <v>0.26359393971304035</v>
      </c>
    </row>
    <row r="138" spans="1:29" s="32" customFormat="1" ht="20.399999999999999" x14ac:dyDescent="0.3">
      <c r="A138" s="66" t="s">
        <v>55</v>
      </c>
      <c r="B138" s="18">
        <f t="shared" si="54"/>
        <v>2.9288215523671158E-2</v>
      </c>
      <c r="C138" s="20">
        <f>B138-(C135-B135)*($B$138/SUM($B$136:$B$139))</f>
        <v>2.9288215523671158E-2</v>
      </c>
      <c r="D138" s="20">
        <f t="shared" ref="D138:AC138" si="56">C138-(D135-C135)*($B$138/SUM($B$136:$B$139))</f>
        <v>2.9288215523671158E-2</v>
      </c>
      <c r="E138" s="20">
        <f t="shared" si="56"/>
        <v>2.9288215523671158E-2</v>
      </c>
      <c r="F138" s="20">
        <f t="shared" si="56"/>
        <v>2.9288215523671158E-2</v>
      </c>
      <c r="G138" s="20">
        <f t="shared" si="56"/>
        <v>2.9288215523671158E-2</v>
      </c>
      <c r="H138" s="20">
        <f t="shared" si="56"/>
        <v>2.9288215523671158E-2</v>
      </c>
      <c r="I138" s="20">
        <f t="shared" si="56"/>
        <v>2.9288215523671158E-2</v>
      </c>
      <c r="J138" s="20">
        <f t="shared" si="56"/>
        <v>2.9288215523671158E-2</v>
      </c>
      <c r="K138" s="20">
        <f t="shared" si="56"/>
        <v>2.9288215523671158E-2</v>
      </c>
      <c r="L138" s="20">
        <f t="shared" si="56"/>
        <v>2.9288215523671158E-2</v>
      </c>
      <c r="M138" s="20">
        <f t="shared" si="56"/>
        <v>2.9288215523671158E-2</v>
      </c>
      <c r="N138" s="20">
        <f t="shared" si="56"/>
        <v>2.9288215523671158E-2</v>
      </c>
      <c r="O138" s="20">
        <f t="shared" si="56"/>
        <v>2.9288215523671158E-2</v>
      </c>
      <c r="P138" s="20">
        <f t="shared" si="56"/>
        <v>2.9288215523671158E-2</v>
      </c>
      <c r="Q138" s="20">
        <f t="shared" si="56"/>
        <v>2.9288215523671158E-2</v>
      </c>
      <c r="R138" s="20">
        <f t="shared" si="56"/>
        <v>2.9288215523671158E-2</v>
      </c>
      <c r="S138" s="20">
        <f t="shared" si="56"/>
        <v>2.9288215523671158E-2</v>
      </c>
      <c r="T138" s="20">
        <f t="shared" si="56"/>
        <v>2.9288215523671158E-2</v>
      </c>
      <c r="U138" s="20">
        <f t="shared" si="56"/>
        <v>2.9288215523671158E-2</v>
      </c>
      <c r="V138" s="20">
        <f t="shared" si="56"/>
        <v>2.9288215523671158E-2</v>
      </c>
      <c r="W138" s="20">
        <f t="shared" si="56"/>
        <v>2.9288215523671158E-2</v>
      </c>
      <c r="X138" s="20">
        <f t="shared" si="56"/>
        <v>2.9288215523671158E-2</v>
      </c>
      <c r="Y138" s="20">
        <f t="shared" si="56"/>
        <v>2.9288215523671158E-2</v>
      </c>
      <c r="Z138" s="20">
        <f t="shared" si="56"/>
        <v>2.9288215523671158E-2</v>
      </c>
      <c r="AA138" s="20">
        <f t="shared" si="56"/>
        <v>2.9288215523671158E-2</v>
      </c>
      <c r="AB138" s="20">
        <f t="shared" si="56"/>
        <v>2.9288215523671158E-2</v>
      </c>
      <c r="AC138" s="20">
        <f t="shared" si="56"/>
        <v>2.9288215523671158E-2</v>
      </c>
    </row>
    <row r="139" spans="1:29" s="32" customFormat="1" ht="20.399999999999999" x14ac:dyDescent="0.3">
      <c r="A139" s="66" t="s">
        <v>54</v>
      </c>
      <c r="B139" s="18">
        <f t="shared" si="54"/>
        <v>0.60007102181464766</v>
      </c>
      <c r="C139" s="20">
        <f>B139-(C135-B135)*($B$139/SUM($B$136:$B$139))</f>
        <v>0.60007102181464766</v>
      </c>
      <c r="D139" s="20">
        <f t="shared" ref="D139:AC139" si="57">C139-(D135-C135)*($B$139/SUM($B$136:$B$139))</f>
        <v>0.60007102181464766</v>
      </c>
      <c r="E139" s="20">
        <f t="shared" si="57"/>
        <v>0.60007102181464766</v>
      </c>
      <c r="F139" s="20">
        <f t="shared" si="57"/>
        <v>0.60007102181464766</v>
      </c>
      <c r="G139" s="20">
        <f t="shared" si="57"/>
        <v>0.60007102181464766</v>
      </c>
      <c r="H139" s="20">
        <f t="shared" si="57"/>
        <v>0.60007102181464766</v>
      </c>
      <c r="I139" s="20">
        <f t="shared" si="57"/>
        <v>0.60007102181464766</v>
      </c>
      <c r="J139" s="20">
        <f t="shared" si="57"/>
        <v>0.60007102181464766</v>
      </c>
      <c r="K139" s="20">
        <f t="shared" si="57"/>
        <v>0.60007102181464766</v>
      </c>
      <c r="L139" s="20">
        <f t="shared" si="57"/>
        <v>0.60007102181464766</v>
      </c>
      <c r="M139" s="20">
        <f t="shared" si="57"/>
        <v>0.60007102181464766</v>
      </c>
      <c r="N139" s="20">
        <f t="shared" si="57"/>
        <v>0.60007102181464766</v>
      </c>
      <c r="O139" s="20">
        <f t="shared" si="57"/>
        <v>0.60007102181464766</v>
      </c>
      <c r="P139" s="20">
        <f t="shared" si="57"/>
        <v>0.60007102181464766</v>
      </c>
      <c r="Q139" s="20">
        <f t="shared" si="57"/>
        <v>0.60007102181464766</v>
      </c>
      <c r="R139" s="20">
        <f t="shared" si="57"/>
        <v>0.60007102181464766</v>
      </c>
      <c r="S139" s="20">
        <f t="shared" si="57"/>
        <v>0.60007102181464766</v>
      </c>
      <c r="T139" s="20">
        <f t="shared" si="57"/>
        <v>0.60007102181464766</v>
      </c>
      <c r="U139" s="20">
        <f t="shared" si="57"/>
        <v>0.60007102181464766</v>
      </c>
      <c r="V139" s="20">
        <f t="shared" si="57"/>
        <v>0.60007102181464766</v>
      </c>
      <c r="W139" s="20">
        <f t="shared" si="57"/>
        <v>0.60007102181464766</v>
      </c>
      <c r="X139" s="20">
        <f t="shared" si="57"/>
        <v>0.60007102181464766</v>
      </c>
      <c r="Y139" s="20">
        <f t="shared" si="57"/>
        <v>0.60007102181464766</v>
      </c>
      <c r="Z139" s="20">
        <f t="shared" si="57"/>
        <v>0.60007102181464766</v>
      </c>
      <c r="AA139" s="20">
        <f t="shared" si="57"/>
        <v>0.60007102181464766</v>
      </c>
      <c r="AB139" s="20">
        <f t="shared" si="57"/>
        <v>0.60007102181464766</v>
      </c>
      <c r="AC139" s="20">
        <f t="shared" si="57"/>
        <v>0.60007102181464766</v>
      </c>
    </row>
    <row r="140" spans="1:29" s="134" customFormat="1" x14ac:dyDescent="0.85">
      <c r="A140" s="201" t="s">
        <v>123</v>
      </c>
      <c r="B140" s="202"/>
      <c r="C140" s="202"/>
      <c r="D140" s="202"/>
      <c r="E140" s="202"/>
      <c r="F140" s="202"/>
      <c r="G140" s="202"/>
      <c r="H140" s="202"/>
      <c r="I140" s="202"/>
      <c r="J140" s="202"/>
      <c r="K140" s="202"/>
      <c r="L140" s="202"/>
      <c r="M140" s="202"/>
      <c r="N140" s="202"/>
      <c r="O140" s="202"/>
      <c r="P140" s="202"/>
      <c r="Q140" s="202"/>
      <c r="R140" s="202"/>
      <c r="S140" s="202"/>
      <c r="T140" s="202"/>
      <c r="U140" s="202"/>
      <c r="V140" s="202"/>
      <c r="W140" s="202"/>
      <c r="X140" s="202"/>
      <c r="Y140" s="202"/>
      <c r="Z140" s="202"/>
      <c r="AA140" s="202"/>
      <c r="AB140" s="202"/>
      <c r="AC140" s="203"/>
    </row>
    <row r="141" spans="1:29" s="132" customFormat="1" x14ac:dyDescent="0.7">
      <c r="A141" s="65"/>
      <c r="B141" s="2">
        <v>2023</v>
      </c>
      <c r="C141" s="2">
        <v>2024</v>
      </c>
      <c r="D141" s="2">
        <v>2025</v>
      </c>
      <c r="E141" s="2">
        <v>2026</v>
      </c>
      <c r="F141" s="2">
        <v>2027</v>
      </c>
      <c r="G141" s="2">
        <v>2028</v>
      </c>
      <c r="H141" s="2">
        <v>2029</v>
      </c>
      <c r="I141" s="2">
        <v>2030</v>
      </c>
      <c r="J141" s="2">
        <v>2031</v>
      </c>
      <c r="K141" s="2">
        <v>2032</v>
      </c>
      <c r="L141" s="2">
        <v>2033</v>
      </c>
      <c r="M141" s="2">
        <v>2034</v>
      </c>
      <c r="N141" s="2">
        <v>2035</v>
      </c>
      <c r="O141" s="2">
        <v>2036</v>
      </c>
      <c r="P141" s="2">
        <v>2037</v>
      </c>
      <c r="Q141" s="2">
        <v>2038</v>
      </c>
      <c r="R141" s="2">
        <v>2039</v>
      </c>
      <c r="S141" s="2">
        <v>2040</v>
      </c>
      <c r="T141" s="2">
        <v>2041</v>
      </c>
      <c r="U141" s="2">
        <v>2042</v>
      </c>
      <c r="V141" s="2">
        <v>2043</v>
      </c>
      <c r="W141" s="2">
        <v>2044</v>
      </c>
      <c r="X141" s="2">
        <v>2045</v>
      </c>
      <c r="Y141" s="2">
        <v>2046</v>
      </c>
      <c r="Z141" s="2">
        <v>2047</v>
      </c>
      <c r="AA141" s="2">
        <v>2048</v>
      </c>
      <c r="AB141" s="2">
        <v>2049</v>
      </c>
      <c r="AC141" s="2">
        <v>2050</v>
      </c>
    </row>
    <row r="142" spans="1:29" s="134" customFormat="1" x14ac:dyDescent="0.85">
      <c r="A142" s="105" t="s">
        <v>176</v>
      </c>
      <c r="B142" s="259"/>
      <c r="C142" s="259"/>
      <c r="D142" s="259"/>
      <c r="E142" s="259"/>
      <c r="F142" s="259"/>
      <c r="G142" s="259"/>
      <c r="H142" s="259"/>
      <c r="I142" s="259"/>
      <c r="J142" s="259"/>
      <c r="K142" s="259"/>
      <c r="L142" s="259"/>
      <c r="M142" s="259"/>
      <c r="N142" s="259"/>
      <c r="O142" s="259"/>
      <c r="P142" s="259"/>
      <c r="Q142" s="259"/>
      <c r="R142" s="259"/>
      <c r="S142" s="259"/>
      <c r="T142" s="259"/>
      <c r="U142" s="259"/>
      <c r="V142" s="259"/>
      <c r="W142" s="259"/>
      <c r="X142" s="259"/>
      <c r="Y142" s="259"/>
      <c r="Z142" s="259"/>
      <c r="AA142" s="259"/>
      <c r="AB142" s="259"/>
      <c r="AC142" s="260"/>
    </row>
    <row r="143" spans="1:29" s="32" customFormat="1" ht="20.399999999999999" x14ac:dyDescent="0.3">
      <c r="A143" s="66" t="s">
        <v>288</v>
      </c>
      <c r="B143" s="23">
        <f>(1/'Baseline Transportation'!B230)</f>
        <v>2.84</v>
      </c>
      <c r="C143" s="23">
        <f>B143*(1+'Forecast Parameters'!F176)</f>
        <v>2.7710121457489878</v>
      </c>
      <c r="D143" s="23">
        <f>C143*(1+'Forecast Parameters'!G176)</f>
        <v>2.7020242914979757</v>
      </c>
      <c r="E143" s="23">
        <f>D143*(1+'Forecast Parameters'!H176)</f>
        <v>2.6468340080971662</v>
      </c>
      <c r="F143" s="23">
        <f>E143*(1+'Forecast Parameters'!I176)</f>
        <v>2.5916437246963562</v>
      </c>
      <c r="G143" s="23">
        <f>F143*(1+'Forecast Parameters'!J176)</f>
        <v>2.5364534412955462</v>
      </c>
      <c r="H143" s="23">
        <f>G143*(1+'Forecast Parameters'!K176)</f>
        <v>2.4812631578947366</v>
      </c>
      <c r="I143" s="23">
        <f>H143*(1+'Forecast Parameters'!L176)</f>
        <v>2.4260728744939271</v>
      </c>
      <c r="J143" s="23">
        <f>I143*(1+'Forecast Parameters'!M176)</f>
        <v>2.3800809716599192</v>
      </c>
      <c r="K143" s="23">
        <f>J143*(1+'Forecast Parameters'!N176)</f>
        <v>2.3340890688259113</v>
      </c>
      <c r="L143" s="23">
        <f>K143*(1+'Forecast Parameters'!O176)</f>
        <v>2.2880971659919034</v>
      </c>
      <c r="M143" s="23">
        <f>L143*(1+'Forecast Parameters'!P176)</f>
        <v>2.2421052631578955</v>
      </c>
      <c r="N143" s="23">
        <f>M143*(1+'Forecast Parameters'!Q176)</f>
        <v>2.1961133603238872</v>
      </c>
      <c r="O143" s="23">
        <f>N143*(1+'Forecast Parameters'!R176)</f>
        <v>2.1800161943319845</v>
      </c>
      <c r="P143" s="23">
        <f>O143*(1+'Forecast Parameters'!S176)</f>
        <v>2.1639190283400818</v>
      </c>
      <c r="Q143" s="23">
        <f>P143*(1+'Forecast Parameters'!T176)</f>
        <v>2.1478218623481791</v>
      </c>
      <c r="R143" s="23">
        <f>Q143*(1+'Forecast Parameters'!U176)</f>
        <v>2.1317246963562759</v>
      </c>
      <c r="S143" s="23">
        <f>R143*(1+'Forecast Parameters'!V176)</f>
        <v>2.1156275303643728</v>
      </c>
      <c r="T143" s="23">
        <f>S143*(1+'Forecast Parameters'!W176)</f>
        <v>2.0995303643724701</v>
      </c>
      <c r="U143" s="23">
        <f>T143*(1+'Forecast Parameters'!X176)</f>
        <v>2.0834331983805674</v>
      </c>
      <c r="V143" s="23">
        <f>U143*(1+'Forecast Parameters'!Y176)</f>
        <v>2.0673360323886643</v>
      </c>
      <c r="W143" s="23">
        <f>V143*(1+'Forecast Parameters'!Z176)</f>
        <v>2.0512388663967616</v>
      </c>
      <c r="X143" s="23">
        <f>W143*(1+'Forecast Parameters'!AA176)</f>
        <v>2.0351417004048589</v>
      </c>
      <c r="Y143" s="23">
        <f>X143*(1+'Forecast Parameters'!AB176)</f>
        <v>2.0190445344129557</v>
      </c>
      <c r="Z143" s="23">
        <f>Y143*(1+'Forecast Parameters'!AC176)</f>
        <v>2.0029473684210526</v>
      </c>
      <c r="AA143" s="23">
        <f>Z143*(1+'Forecast Parameters'!AD176)</f>
        <v>1.9868502024291499</v>
      </c>
      <c r="AB143" s="23">
        <f>AA143*(1+'Forecast Parameters'!AE176)</f>
        <v>1.970753036437247</v>
      </c>
      <c r="AC143" s="23">
        <f>AB143*(1+'Forecast Parameters'!AF176)</f>
        <v>1.9546558704453443</v>
      </c>
    </row>
    <row r="144" spans="1:29" s="32" customFormat="1" ht="20.399999999999999" x14ac:dyDescent="0.3">
      <c r="A144" s="66" t="s">
        <v>293</v>
      </c>
      <c r="B144" s="23">
        <f>'Baseline Transportation'!B231</f>
        <v>3.52</v>
      </c>
      <c r="C144" s="23">
        <f>B144*(1+'Forecast Parameters'!E163)</f>
        <v>3.6045927903871831</v>
      </c>
      <c r="D144" s="23">
        <f>C144*(1+'Forecast Parameters'!F163)</f>
        <v>3.6891855807743656</v>
      </c>
      <c r="E144" s="23">
        <f>D144*(1+'Forecast Parameters'!G163)</f>
        <v>3.7643791722296394</v>
      </c>
      <c r="F144" s="23">
        <f>E144*(1+'Forecast Parameters'!H163)</f>
        <v>3.8395727636849131</v>
      </c>
      <c r="G144" s="23">
        <f>F144*(1+'Forecast Parameters'!I163)</f>
        <v>3.9147663551401872</v>
      </c>
      <c r="H144" s="23">
        <f>G144*(1+'Forecast Parameters'!J163)</f>
        <v>3.9899599465954609</v>
      </c>
      <c r="I144" s="23">
        <f>H144*(1+'Forecast Parameters'!K163)</f>
        <v>4.0651535380507342</v>
      </c>
      <c r="J144" s="23">
        <f>I144*(1+'Forecast Parameters'!L163)</f>
        <v>4.1356475300400533</v>
      </c>
      <c r="K144" s="23">
        <f>J144*(1+'Forecast Parameters'!M163)</f>
        <v>4.2061415220293723</v>
      </c>
      <c r="L144" s="23">
        <f>K144*(1+'Forecast Parameters'!N163)</f>
        <v>4.2766355140186914</v>
      </c>
      <c r="M144" s="23">
        <f>L144*(1+'Forecast Parameters'!O163)</f>
        <v>4.3471295060080104</v>
      </c>
      <c r="N144" s="23">
        <f>M144*(1+'Forecast Parameters'!P163)</f>
        <v>4.4176234979973295</v>
      </c>
      <c r="O144" s="23">
        <f>N144*(1+'Forecast Parameters'!Q163)</f>
        <v>4.4542803738317751</v>
      </c>
      <c r="P144" s="23">
        <f>O144*(1+'Forecast Parameters'!R163)</f>
        <v>4.4909372496662208</v>
      </c>
      <c r="Q144" s="23">
        <f>P144*(1+'Forecast Parameters'!S163)</f>
        <v>4.5275941255006673</v>
      </c>
      <c r="R144" s="23">
        <f>Q144*(1+'Forecast Parameters'!T163)</f>
        <v>4.564251001335113</v>
      </c>
      <c r="S144" s="23">
        <f>R144*(1+'Forecast Parameters'!U163)</f>
        <v>4.6009078771695586</v>
      </c>
      <c r="T144" s="23">
        <f>S144*(1+'Forecast Parameters'!V163)</f>
        <v>4.6394445927903867</v>
      </c>
      <c r="U144" s="23">
        <f>T144*(1+'Forecast Parameters'!W163)</f>
        <v>4.6779813084112138</v>
      </c>
      <c r="V144" s="23">
        <f>U144*(1+'Forecast Parameters'!X163)</f>
        <v>4.7165180240320419</v>
      </c>
      <c r="W144" s="23">
        <f>V144*(1+'Forecast Parameters'!Y163)</f>
        <v>4.7550547396528691</v>
      </c>
      <c r="X144" s="23">
        <f>W144*(1+'Forecast Parameters'!Z163)</f>
        <v>4.793591455273698</v>
      </c>
      <c r="Y144" s="23">
        <f>X144*(1+'Forecast Parameters'!AA163)</f>
        <v>4.8311882510013344</v>
      </c>
      <c r="Z144" s="23">
        <f>Y144*(1+'Forecast Parameters'!AB163)</f>
        <v>4.8687850467289708</v>
      </c>
      <c r="AA144" s="23">
        <f>Z144*(1+'Forecast Parameters'!AC163)</f>
        <v>4.9063818424566072</v>
      </c>
      <c r="AB144" s="23">
        <f>AA144*(1+'Forecast Parameters'!AD163)</f>
        <v>4.9439786381842445</v>
      </c>
      <c r="AC144" s="23">
        <f>AB144*(1+'Forecast Parameters'!AE163)</f>
        <v>4.9815754339118818</v>
      </c>
    </row>
    <row r="145" spans="1:30" s="32" customFormat="1" ht="20.399999999999999" x14ac:dyDescent="0.3">
      <c r="A145" s="66" t="s">
        <v>289</v>
      </c>
      <c r="B145" s="23">
        <f>'Baseline Transportation'!B232</f>
        <v>7.8888888888888875</v>
      </c>
      <c r="C145" s="23">
        <f>B145*(1+'Forecast Parameters'!E163)</f>
        <v>8.0784750037086468</v>
      </c>
      <c r="D145" s="23">
        <f>C145*(1+'Forecast Parameters'!F163)</f>
        <v>8.2680611185284061</v>
      </c>
      <c r="E145" s="23">
        <f>D145*(1+'Forecast Parameters'!G163)</f>
        <v>8.4365821094793034</v>
      </c>
      <c r="F145" s="23">
        <f>E145*(1+'Forecast Parameters'!H163)</f>
        <v>8.6051031004302008</v>
      </c>
      <c r="G145" s="23">
        <f>F145*(1+'Forecast Parameters'!I163)</f>
        <v>8.7736240913810981</v>
      </c>
      <c r="H145" s="23">
        <f>G145*(1+'Forecast Parameters'!J163)</f>
        <v>8.9421450823319955</v>
      </c>
      <c r="I145" s="23">
        <f>H145*(1+'Forecast Parameters'!K163)</f>
        <v>9.1106660732828928</v>
      </c>
      <c r="J145" s="23">
        <f>I145*(1+'Forecast Parameters'!L163)</f>
        <v>9.2686545022993592</v>
      </c>
      <c r="K145" s="23">
        <f>J145*(1+'Forecast Parameters'!M163)</f>
        <v>9.4266429313158255</v>
      </c>
      <c r="L145" s="23">
        <f>K145*(1+'Forecast Parameters'!N163)</f>
        <v>9.5846313603322919</v>
      </c>
      <c r="M145" s="23">
        <f>L145*(1+'Forecast Parameters'!O163)</f>
        <v>9.7426197893487583</v>
      </c>
      <c r="N145" s="23">
        <f>M145*(1+'Forecast Parameters'!P163)</f>
        <v>9.9006082183652246</v>
      </c>
      <c r="O145" s="23">
        <f>N145*(1+'Forecast Parameters'!Q163)</f>
        <v>9.9827622014537862</v>
      </c>
      <c r="P145" s="23">
        <f>O145*(1+'Forecast Parameters'!R163)</f>
        <v>10.06491618454235</v>
      </c>
      <c r="Q145" s="23">
        <f>P145*(1+'Forecast Parameters'!S163)</f>
        <v>10.147070167630913</v>
      </c>
      <c r="R145" s="23">
        <f>Q145*(1+'Forecast Parameters'!T163)</f>
        <v>10.229224150719475</v>
      </c>
      <c r="S145" s="23">
        <f>R145*(1+'Forecast Parameters'!U163)</f>
        <v>10.311378133808038</v>
      </c>
      <c r="T145" s="23">
        <f>S145*(1+'Forecast Parameters'!V163)</f>
        <v>10.397745141670374</v>
      </c>
      <c r="U145" s="23">
        <f>T145*(1+'Forecast Parameters'!W163)</f>
        <v>10.484112149532706</v>
      </c>
      <c r="V145" s="23">
        <f>U145*(1+'Forecast Parameters'!X163)</f>
        <v>10.570479157395042</v>
      </c>
      <c r="W145" s="23">
        <f>V145*(1+'Forecast Parameters'!Y163)</f>
        <v>10.656846165257376</v>
      </c>
      <c r="X145" s="23">
        <f>W145*(1+'Forecast Parameters'!Z163)</f>
        <v>10.743213173119713</v>
      </c>
      <c r="Y145" s="23">
        <f>X145*(1+'Forecast Parameters'!AA163)</f>
        <v>10.827473668595161</v>
      </c>
      <c r="Z145" s="23">
        <f>Y145*(1+'Forecast Parameters'!AB163)</f>
        <v>10.911734164070609</v>
      </c>
      <c r="AA145" s="23">
        <f>Z145*(1+'Forecast Parameters'!AC163)</f>
        <v>10.995994659546056</v>
      </c>
      <c r="AB145" s="23">
        <f>AA145*(1+'Forecast Parameters'!AD163)</f>
        <v>11.080255155021506</v>
      </c>
      <c r="AC145" s="23">
        <f>AB145*(1+'Forecast Parameters'!AE163)</f>
        <v>11.164515650496956</v>
      </c>
    </row>
    <row r="146" spans="1:30" s="32" customFormat="1" ht="20.399999999999999" x14ac:dyDescent="0.3">
      <c r="A146" s="66" t="s">
        <v>290</v>
      </c>
      <c r="B146" s="23">
        <f>'Baseline Transportation'!B233</f>
        <v>7.8888888888888893</v>
      </c>
      <c r="C146" s="23">
        <f>C145</f>
        <v>8.0784750037086468</v>
      </c>
      <c r="D146" s="23">
        <f t="shared" ref="D146:AC146" si="58">D145</f>
        <v>8.2680611185284061</v>
      </c>
      <c r="E146" s="23">
        <f t="shared" si="58"/>
        <v>8.4365821094793034</v>
      </c>
      <c r="F146" s="23">
        <f t="shared" si="58"/>
        <v>8.6051031004302008</v>
      </c>
      <c r="G146" s="23">
        <f t="shared" si="58"/>
        <v>8.7736240913810981</v>
      </c>
      <c r="H146" s="23">
        <f t="shared" si="58"/>
        <v>8.9421450823319955</v>
      </c>
      <c r="I146" s="23">
        <f t="shared" si="58"/>
        <v>9.1106660732828928</v>
      </c>
      <c r="J146" s="23">
        <f t="shared" si="58"/>
        <v>9.2686545022993592</v>
      </c>
      <c r="K146" s="23">
        <f t="shared" si="58"/>
        <v>9.4266429313158255</v>
      </c>
      <c r="L146" s="23">
        <f t="shared" si="58"/>
        <v>9.5846313603322919</v>
      </c>
      <c r="M146" s="23">
        <f t="shared" si="58"/>
        <v>9.7426197893487583</v>
      </c>
      <c r="N146" s="23">
        <f t="shared" si="58"/>
        <v>9.9006082183652246</v>
      </c>
      <c r="O146" s="23">
        <f t="shared" si="58"/>
        <v>9.9827622014537862</v>
      </c>
      <c r="P146" s="23">
        <f t="shared" si="58"/>
        <v>10.06491618454235</v>
      </c>
      <c r="Q146" s="23">
        <f t="shared" si="58"/>
        <v>10.147070167630913</v>
      </c>
      <c r="R146" s="23">
        <f t="shared" si="58"/>
        <v>10.229224150719475</v>
      </c>
      <c r="S146" s="23">
        <f t="shared" si="58"/>
        <v>10.311378133808038</v>
      </c>
      <c r="T146" s="23">
        <f t="shared" si="58"/>
        <v>10.397745141670374</v>
      </c>
      <c r="U146" s="23">
        <f t="shared" si="58"/>
        <v>10.484112149532706</v>
      </c>
      <c r="V146" s="23">
        <f t="shared" si="58"/>
        <v>10.570479157395042</v>
      </c>
      <c r="W146" s="23">
        <f t="shared" si="58"/>
        <v>10.656846165257376</v>
      </c>
      <c r="X146" s="23">
        <f t="shared" si="58"/>
        <v>10.743213173119713</v>
      </c>
      <c r="Y146" s="23">
        <f t="shared" si="58"/>
        <v>10.827473668595161</v>
      </c>
      <c r="Z146" s="23">
        <f t="shared" si="58"/>
        <v>10.911734164070609</v>
      </c>
      <c r="AA146" s="23">
        <f t="shared" si="58"/>
        <v>10.995994659546056</v>
      </c>
      <c r="AB146" s="23">
        <f t="shared" si="58"/>
        <v>11.080255155021506</v>
      </c>
      <c r="AC146" s="23">
        <f t="shared" si="58"/>
        <v>11.164515650496956</v>
      </c>
    </row>
    <row r="147" spans="1:30" s="32" customFormat="1" ht="20.399999999999999" x14ac:dyDescent="0.3">
      <c r="A147" s="66" t="s">
        <v>291</v>
      </c>
      <c r="B147" s="23">
        <f>'Baseline Transportation'!B234</f>
        <v>6.5900000000000007</v>
      </c>
      <c r="C147" s="23">
        <f>B147*(1+'Forecast Parameters'!E163)</f>
        <v>6.7483711615487332</v>
      </c>
      <c r="D147" s="23">
        <f>C147*(1+'Forecast Parameters'!F163)</f>
        <v>6.9067423230974647</v>
      </c>
      <c r="E147" s="23">
        <f>D147*(1+'Forecast Parameters'!G163)</f>
        <v>7.0475166889185594</v>
      </c>
      <c r="F147" s="23">
        <f>E147*(1+'Forecast Parameters'!H163)</f>
        <v>7.188291054739655</v>
      </c>
      <c r="G147" s="23">
        <f>F147*(1+'Forecast Parameters'!I163)</f>
        <v>7.3290654205607506</v>
      </c>
      <c r="H147" s="23">
        <f>G147*(1+'Forecast Parameters'!J163)</f>
        <v>7.4698397863818453</v>
      </c>
      <c r="I147" s="23">
        <f>H147*(1+'Forecast Parameters'!K163)</f>
        <v>7.6106141522029391</v>
      </c>
      <c r="J147" s="23">
        <f>I147*(1+'Forecast Parameters'!L163)</f>
        <v>7.742590120160215</v>
      </c>
      <c r="K147" s="23">
        <f>J147*(1+'Forecast Parameters'!M163)</f>
        <v>7.8745660881174917</v>
      </c>
      <c r="L147" s="23">
        <f>K147*(1+'Forecast Parameters'!N163)</f>
        <v>8.0065420560747675</v>
      </c>
      <c r="M147" s="23">
        <f>L147*(1+'Forecast Parameters'!O163)</f>
        <v>8.1385180240320434</v>
      </c>
      <c r="N147" s="23">
        <f>M147*(1+'Forecast Parameters'!P163)</f>
        <v>8.270493991989321</v>
      </c>
      <c r="O147" s="23">
        <f>N147*(1+'Forecast Parameters'!Q163)</f>
        <v>8.3391214953271042</v>
      </c>
      <c r="P147" s="23">
        <f>O147*(1+'Forecast Parameters'!R163)</f>
        <v>8.4077489986648875</v>
      </c>
      <c r="Q147" s="23">
        <f>P147*(1+'Forecast Parameters'!S163)</f>
        <v>8.4763765020026725</v>
      </c>
      <c r="R147" s="23">
        <f>Q147*(1+'Forecast Parameters'!T163)</f>
        <v>8.5450040053404557</v>
      </c>
      <c r="S147" s="23">
        <f>R147*(1+'Forecast Parameters'!U163)</f>
        <v>8.6136315086782389</v>
      </c>
      <c r="T147" s="23">
        <f>S147*(1+'Forecast Parameters'!V163)</f>
        <v>8.6857783711615504</v>
      </c>
      <c r="U147" s="23">
        <f>T147*(1+'Forecast Parameters'!W163)</f>
        <v>8.7579252336448601</v>
      </c>
      <c r="V147" s="23">
        <f>U147*(1+'Forecast Parameters'!X163)</f>
        <v>8.8300720961281716</v>
      </c>
      <c r="W147" s="23">
        <f>V147*(1+'Forecast Parameters'!Y163)</f>
        <v>8.9022189586114813</v>
      </c>
      <c r="X147" s="23">
        <f>W147*(1+'Forecast Parameters'!Z163)</f>
        <v>8.9743658210947945</v>
      </c>
      <c r="Y147" s="23">
        <f>X147*(1+'Forecast Parameters'!AA163)</f>
        <v>9.0447530040053419</v>
      </c>
      <c r="Z147" s="23">
        <f>Y147*(1+'Forecast Parameters'!AB163)</f>
        <v>9.1151401869158892</v>
      </c>
      <c r="AA147" s="23">
        <f>Z147*(1+'Forecast Parameters'!AC163)</f>
        <v>9.1855273698264366</v>
      </c>
      <c r="AB147" s="23">
        <f>AA147*(1+'Forecast Parameters'!AD163)</f>
        <v>9.2559145527369839</v>
      </c>
      <c r="AC147" s="23">
        <f>AB147*(1+'Forecast Parameters'!AE163)</f>
        <v>9.3263017356475313</v>
      </c>
    </row>
    <row r="148" spans="1:30" s="134" customFormat="1" x14ac:dyDescent="0.85">
      <c r="A148" s="201" t="s">
        <v>215</v>
      </c>
      <c r="B148" s="202"/>
      <c r="C148" s="202"/>
      <c r="D148" s="202"/>
      <c r="E148" s="202"/>
      <c r="F148" s="202"/>
      <c r="G148" s="202"/>
      <c r="H148" s="202"/>
      <c r="I148" s="202"/>
      <c r="J148" s="202"/>
      <c r="K148" s="202"/>
      <c r="L148" s="202"/>
      <c r="M148" s="202"/>
      <c r="N148" s="202"/>
      <c r="O148" s="202"/>
      <c r="P148" s="202"/>
      <c r="Q148" s="202"/>
      <c r="R148" s="202"/>
      <c r="S148" s="202"/>
      <c r="T148" s="202"/>
      <c r="U148" s="202"/>
      <c r="V148" s="202"/>
      <c r="W148" s="202"/>
      <c r="X148" s="202"/>
      <c r="Y148" s="202"/>
      <c r="Z148" s="202"/>
      <c r="AA148" s="202"/>
      <c r="AB148" s="202"/>
      <c r="AC148" s="203"/>
    </row>
    <row r="149" spans="1:30" s="132" customFormat="1" x14ac:dyDescent="0.7">
      <c r="A149" s="65"/>
      <c r="B149" s="2">
        <v>2023</v>
      </c>
      <c r="C149" s="2">
        <v>2024</v>
      </c>
      <c r="D149" s="2">
        <v>2025</v>
      </c>
      <c r="E149" s="2">
        <v>2026</v>
      </c>
      <c r="F149" s="2">
        <v>2027</v>
      </c>
      <c r="G149" s="2">
        <v>2028</v>
      </c>
      <c r="H149" s="2">
        <v>2029</v>
      </c>
      <c r="I149" s="2">
        <v>2030</v>
      </c>
      <c r="J149" s="2">
        <v>2031</v>
      </c>
      <c r="K149" s="2">
        <v>2032</v>
      </c>
      <c r="L149" s="2">
        <v>2033</v>
      </c>
      <c r="M149" s="2">
        <v>2034</v>
      </c>
      <c r="N149" s="2">
        <v>2035</v>
      </c>
      <c r="O149" s="2">
        <v>2036</v>
      </c>
      <c r="P149" s="2">
        <v>2037</v>
      </c>
      <c r="Q149" s="2">
        <v>2038</v>
      </c>
      <c r="R149" s="2">
        <v>2039</v>
      </c>
      <c r="S149" s="2">
        <v>2040</v>
      </c>
      <c r="T149" s="2">
        <v>2041</v>
      </c>
      <c r="U149" s="2">
        <v>2042</v>
      </c>
      <c r="V149" s="2">
        <v>2043</v>
      </c>
      <c r="W149" s="2">
        <v>2044</v>
      </c>
      <c r="X149" s="2">
        <v>2045</v>
      </c>
      <c r="Y149" s="2">
        <v>2046</v>
      </c>
      <c r="Z149" s="2">
        <v>2047</v>
      </c>
      <c r="AA149" s="2">
        <v>2048</v>
      </c>
      <c r="AB149" s="2">
        <v>2049</v>
      </c>
      <c r="AC149" s="2">
        <v>2050</v>
      </c>
    </row>
    <row r="150" spans="1:30" s="134" customFormat="1" x14ac:dyDescent="0.85">
      <c r="A150" s="105" t="s">
        <v>176</v>
      </c>
      <c r="B150" s="259"/>
      <c r="C150" s="259"/>
      <c r="D150" s="259"/>
      <c r="E150" s="259"/>
      <c r="F150" s="259"/>
      <c r="G150" s="259"/>
      <c r="H150" s="259"/>
      <c r="I150" s="259"/>
      <c r="J150" s="259"/>
      <c r="K150" s="259"/>
      <c r="L150" s="259"/>
      <c r="M150" s="259"/>
      <c r="N150" s="259"/>
      <c r="O150" s="259"/>
      <c r="P150" s="259"/>
      <c r="Q150" s="259"/>
      <c r="R150" s="259"/>
      <c r="S150" s="259"/>
      <c r="T150" s="259"/>
      <c r="U150" s="259"/>
      <c r="V150" s="259"/>
      <c r="W150" s="259"/>
      <c r="X150" s="259"/>
      <c r="Y150" s="259"/>
      <c r="Z150" s="259"/>
      <c r="AA150" s="259"/>
      <c r="AB150" s="259"/>
      <c r="AC150" s="260"/>
    </row>
    <row r="151" spans="1:30" s="32" customFormat="1" ht="20.399999999999999" x14ac:dyDescent="0.3">
      <c r="A151" s="66" t="s">
        <v>220</v>
      </c>
      <c r="B151" s="92">
        <f t="shared" ref="B151:AC151" si="59">B135*B133*B143</f>
        <v>88578.938999999998</v>
      </c>
      <c r="C151" s="92">
        <f>C135*C133*C143</f>
        <v>86427.22388259109</v>
      </c>
      <c r="D151" s="92">
        <f t="shared" si="59"/>
        <v>84275.508765182196</v>
      </c>
      <c r="E151" s="92">
        <f t="shared" si="59"/>
        <v>82554.136671255066</v>
      </c>
      <c r="F151" s="92">
        <f t="shared" si="59"/>
        <v>80832.764577327936</v>
      </c>
      <c r="G151" s="92">
        <f t="shared" si="59"/>
        <v>79111.392483400807</v>
      </c>
      <c r="H151" s="92">
        <f t="shared" si="59"/>
        <v>77390.020389473677</v>
      </c>
      <c r="I151" s="92">
        <f t="shared" si="59"/>
        <v>75668.648295546562</v>
      </c>
      <c r="J151" s="92">
        <f t="shared" si="59"/>
        <v>74234.171550607294</v>
      </c>
      <c r="K151" s="92">
        <f t="shared" si="59"/>
        <v>72799.694805668027</v>
      </c>
      <c r="L151" s="92">
        <f t="shared" si="59"/>
        <v>71365.218060728759</v>
      </c>
      <c r="M151" s="92">
        <f t="shared" si="59"/>
        <v>69930.741315789506</v>
      </c>
      <c r="N151" s="92">
        <f t="shared" si="59"/>
        <v>68496.264570850224</v>
      </c>
      <c r="O151" s="92">
        <f t="shared" si="59"/>
        <v>67994.197710121487</v>
      </c>
      <c r="P151" s="92">
        <f t="shared" si="59"/>
        <v>67492.130849392735</v>
      </c>
      <c r="Q151" s="92">
        <f t="shared" si="59"/>
        <v>66990.063988663998</v>
      </c>
      <c r="R151" s="92">
        <f t="shared" si="59"/>
        <v>66487.997127935247</v>
      </c>
      <c r="S151" s="92">
        <f t="shared" si="59"/>
        <v>65985.930267206495</v>
      </c>
      <c r="T151" s="92">
        <f t="shared" si="59"/>
        <v>65483.863406477751</v>
      </c>
      <c r="U151" s="92">
        <f t="shared" si="59"/>
        <v>64981.796545749006</v>
      </c>
      <c r="V151" s="92">
        <f t="shared" si="59"/>
        <v>64479.729685020255</v>
      </c>
      <c r="W151" s="92">
        <f t="shared" si="59"/>
        <v>63977.66282429151</v>
      </c>
      <c r="X151" s="92">
        <f t="shared" si="59"/>
        <v>63475.595963562773</v>
      </c>
      <c r="Y151" s="92">
        <f t="shared" si="59"/>
        <v>62973.529102834022</v>
      </c>
      <c r="Z151" s="92">
        <f t="shared" si="59"/>
        <v>62471.462242105263</v>
      </c>
      <c r="AA151" s="92">
        <f t="shared" si="59"/>
        <v>61969.395381376526</v>
      </c>
      <c r="AB151" s="92">
        <f t="shared" si="59"/>
        <v>61467.328520647774</v>
      </c>
      <c r="AC151" s="92">
        <f t="shared" si="59"/>
        <v>60965.261659919037</v>
      </c>
    </row>
    <row r="152" spans="1:30" s="32" customFormat="1" ht="20.399999999999999" x14ac:dyDescent="0.3">
      <c r="A152" s="66" t="s">
        <v>292</v>
      </c>
      <c r="B152" s="92">
        <f t="shared" ref="B152:AC152" si="60">B136*B133*(1/B144)</f>
        <v>252323.36956521744</v>
      </c>
      <c r="C152" s="92">
        <f t="shared" si="60"/>
        <v>246401.83025338702</v>
      </c>
      <c r="D152" s="92">
        <f t="shared" si="60"/>
        <v>240751.85198006098</v>
      </c>
      <c r="E152" s="92">
        <f t="shared" si="60"/>
        <v>235942.8262226565</v>
      </c>
      <c r="F152" s="92">
        <f t="shared" si="60"/>
        <v>231322.15887925072</v>
      </c>
      <c r="G152" s="92">
        <f t="shared" si="60"/>
        <v>226878.9961636829</v>
      </c>
      <c r="H152" s="92">
        <f t="shared" si="60"/>
        <v>222603.30247861936</v>
      </c>
      <c r="I152" s="92">
        <f t="shared" si="60"/>
        <v>218485.78474491081</v>
      </c>
      <c r="J152" s="92">
        <f t="shared" si="60"/>
        <v>214761.59523221347</v>
      </c>
      <c r="K152" s="92">
        <f t="shared" si="60"/>
        <v>211162.23888753948</v>
      </c>
      <c r="L152" s="92">
        <f t="shared" si="60"/>
        <v>207681.5426421405</v>
      </c>
      <c r="M152" s="92">
        <f t="shared" si="60"/>
        <v>204313.73384253823</v>
      </c>
      <c r="N152" s="92">
        <f t="shared" si="60"/>
        <v>201053.40830249773</v>
      </c>
      <c r="O152" s="92">
        <f t="shared" si="60"/>
        <v>199398.82232997243</v>
      </c>
      <c r="P152" s="92">
        <f t="shared" si="60"/>
        <v>197771.24717909991</v>
      </c>
      <c r="Q152" s="92">
        <f t="shared" si="60"/>
        <v>196170.02678466667</v>
      </c>
      <c r="R152" s="92">
        <f t="shared" si="60"/>
        <v>194594.52615768931</v>
      </c>
      <c r="S152" s="92">
        <f t="shared" si="60"/>
        <v>193044.13054580989</v>
      </c>
      <c r="T152" s="92">
        <f t="shared" si="60"/>
        <v>191440.64404816437</v>
      </c>
      <c r="U152" s="92">
        <f t="shared" si="60"/>
        <v>189863.57625512144</v>
      </c>
      <c r="V152" s="92">
        <f t="shared" si="60"/>
        <v>188312.27959779583</v>
      </c>
      <c r="W152" s="92">
        <f t="shared" si="60"/>
        <v>186786.12749984965</v>
      </c>
      <c r="X152" s="92">
        <f t="shared" si="60"/>
        <v>185284.51353367436</v>
      </c>
      <c r="Y152" s="92">
        <f t="shared" si="60"/>
        <v>183842.61070461854</v>
      </c>
      <c r="Z152" s="92">
        <f t="shared" si="60"/>
        <v>182422.97664512345</v>
      </c>
      <c r="AA152" s="92">
        <f t="shared" si="60"/>
        <v>181025.09942945201</v>
      </c>
      <c r="AB152" s="92">
        <f t="shared" si="60"/>
        <v>179648.48270375276</v>
      </c>
      <c r="AC152" s="92">
        <f t="shared" si="60"/>
        <v>178292.64509844137</v>
      </c>
      <c r="AD152" s="355"/>
    </row>
    <row r="153" spans="1:30" s="32" customFormat="1" ht="20.399999999999999" x14ac:dyDescent="0.3">
      <c r="A153" s="66" t="s">
        <v>117</v>
      </c>
      <c r="B153" s="92">
        <f t="shared" ref="B153:AC153" si="61">B137*B133*(1/B145)</f>
        <v>286969.14</v>
      </c>
      <c r="C153" s="92">
        <f t="shared" si="61"/>
        <v>280234.53176010435</v>
      </c>
      <c r="D153" s="92">
        <f t="shared" si="61"/>
        <v>273808.77179617836</v>
      </c>
      <c r="E153" s="92">
        <f t="shared" si="61"/>
        <v>268339.4330337079</v>
      </c>
      <c r="F153" s="92">
        <f t="shared" si="61"/>
        <v>263084.31561811507</v>
      </c>
      <c r="G153" s="92">
        <f t="shared" si="61"/>
        <v>258031.0754621849</v>
      </c>
      <c r="H153" s="92">
        <f t="shared" si="61"/>
        <v>253168.29901060075</v>
      </c>
      <c r="I153" s="92">
        <f t="shared" si="61"/>
        <v>248485.41717919079</v>
      </c>
      <c r="J153" s="92">
        <f t="shared" si="61"/>
        <v>244249.87029545457</v>
      </c>
      <c r="K153" s="92">
        <f t="shared" si="61"/>
        <v>240156.29705027939</v>
      </c>
      <c r="L153" s="92">
        <f t="shared" si="61"/>
        <v>236197.67676923081</v>
      </c>
      <c r="M153" s="92">
        <f t="shared" si="61"/>
        <v>232367.44417297302</v>
      </c>
      <c r="N153" s="92">
        <f t="shared" si="61"/>
        <v>228659.45304255321</v>
      </c>
      <c r="O153" s="92">
        <f t="shared" si="61"/>
        <v>226777.68079763668</v>
      </c>
      <c r="P153" s="92">
        <f t="shared" si="61"/>
        <v>224926.62814985352</v>
      </c>
      <c r="Q153" s="92">
        <f t="shared" si="61"/>
        <v>223105.54895162967</v>
      </c>
      <c r="R153" s="92">
        <f t="shared" si="61"/>
        <v>221313.72102553546</v>
      </c>
      <c r="S153" s="92">
        <f t="shared" si="61"/>
        <v>219550.44520939735</v>
      </c>
      <c r="T153" s="92">
        <f t="shared" si="61"/>
        <v>217726.78875607779</v>
      </c>
      <c r="U153" s="92">
        <f t="shared" si="61"/>
        <v>215933.1784810127</v>
      </c>
      <c r="V153" s="92">
        <f t="shared" si="61"/>
        <v>214168.87789956163</v>
      </c>
      <c r="W153" s="92">
        <f t="shared" si="61"/>
        <v>212433.17440205583</v>
      </c>
      <c r="X153" s="92">
        <f t="shared" si="61"/>
        <v>210725.37829411766</v>
      </c>
      <c r="Y153" s="92">
        <f t="shared" si="61"/>
        <v>209085.49208171209</v>
      </c>
      <c r="Z153" s="92">
        <f t="shared" si="61"/>
        <v>207470.93229729735</v>
      </c>
      <c r="AA153" s="92">
        <f t="shared" si="61"/>
        <v>205881.116724138</v>
      </c>
      <c r="AB153" s="92">
        <f t="shared" si="61"/>
        <v>204315.48085551336</v>
      </c>
      <c r="AC153" s="92">
        <f t="shared" si="61"/>
        <v>202773.47722641513</v>
      </c>
    </row>
    <row r="154" spans="1:30" s="32" customFormat="1" ht="20.399999999999999" x14ac:dyDescent="0.3">
      <c r="A154" s="66" t="s">
        <v>221</v>
      </c>
      <c r="B154" s="92">
        <f t="shared" ref="B154:AC154" si="62">B138*B133*(1/B146)</f>
        <v>31885.46</v>
      </c>
      <c r="C154" s="92">
        <f t="shared" si="62"/>
        <v>31137.170195567152</v>
      </c>
      <c r="D154" s="92">
        <f t="shared" si="62"/>
        <v>30423.196866242048</v>
      </c>
      <c r="E154" s="92">
        <f t="shared" si="62"/>
        <v>29815.492559300881</v>
      </c>
      <c r="F154" s="92">
        <f t="shared" si="62"/>
        <v>29231.590624235014</v>
      </c>
      <c r="G154" s="92">
        <f t="shared" si="62"/>
        <v>28670.119495798328</v>
      </c>
      <c r="H154" s="92">
        <f t="shared" si="62"/>
        <v>28129.811001177863</v>
      </c>
      <c r="I154" s="92">
        <f t="shared" si="62"/>
        <v>27609.490797687871</v>
      </c>
      <c r="J154" s="92">
        <f t="shared" si="62"/>
        <v>27138.874477272737</v>
      </c>
      <c r="K154" s="92">
        <f t="shared" si="62"/>
        <v>26684.033005586603</v>
      </c>
      <c r="L154" s="92">
        <f t="shared" si="62"/>
        <v>26244.186307692318</v>
      </c>
      <c r="M154" s="92">
        <f t="shared" si="62"/>
        <v>25818.604908108118</v>
      </c>
      <c r="N154" s="92">
        <f t="shared" si="62"/>
        <v>25406.605893617027</v>
      </c>
      <c r="O154" s="92">
        <f t="shared" si="62"/>
        <v>25197.520088626301</v>
      </c>
      <c r="P154" s="92">
        <f t="shared" si="62"/>
        <v>24991.847572205952</v>
      </c>
      <c r="Q154" s="92">
        <f t="shared" si="62"/>
        <v>24789.50543906997</v>
      </c>
      <c r="R154" s="92">
        <f t="shared" si="62"/>
        <v>24590.413447281724</v>
      </c>
      <c r="S154" s="92">
        <f t="shared" si="62"/>
        <v>24394.493912155267</v>
      </c>
      <c r="T154" s="92">
        <f t="shared" si="62"/>
        <v>24191.865417341982</v>
      </c>
      <c r="U154" s="92">
        <f t="shared" si="62"/>
        <v>23992.575386779194</v>
      </c>
      <c r="V154" s="92">
        <f t="shared" si="62"/>
        <v>23796.541988840185</v>
      </c>
      <c r="W154" s="92">
        <f t="shared" si="62"/>
        <v>23603.686044672872</v>
      </c>
      <c r="X154" s="92">
        <f t="shared" si="62"/>
        <v>23413.930921568633</v>
      </c>
      <c r="Y154" s="92">
        <f t="shared" si="62"/>
        <v>23231.72134241246</v>
      </c>
      <c r="Z154" s="92">
        <f t="shared" si="62"/>
        <v>23052.32581081082</v>
      </c>
      <c r="AA154" s="92">
        <f t="shared" si="62"/>
        <v>22875.679636015338</v>
      </c>
      <c r="AB154" s="92">
        <f t="shared" si="62"/>
        <v>22701.720095057044</v>
      </c>
      <c r="AC154" s="92">
        <f t="shared" si="62"/>
        <v>22530.386358490574</v>
      </c>
    </row>
    <row r="155" spans="1:30" s="32" customFormat="1" ht="20.399999999999999" x14ac:dyDescent="0.3">
      <c r="A155" s="66" t="s">
        <v>92</v>
      </c>
      <c r="B155" s="92">
        <f t="shared" ref="B155:AC155" si="63">B139*B133*(1/B147)</f>
        <v>782046.99999999977</v>
      </c>
      <c r="C155" s="92">
        <f t="shared" si="63"/>
        <v>763693.8761408081</v>
      </c>
      <c r="D155" s="92">
        <f t="shared" si="63"/>
        <v>746182.42420382146</v>
      </c>
      <c r="E155" s="92">
        <f t="shared" si="63"/>
        <v>731277.40699126071</v>
      </c>
      <c r="F155" s="92">
        <f t="shared" si="63"/>
        <v>716956.18482252117</v>
      </c>
      <c r="G155" s="92">
        <f t="shared" si="63"/>
        <v>703185.11764705856</v>
      </c>
      <c r="H155" s="92">
        <f t="shared" si="63"/>
        <v>689933.10129564162</v>
      </c>
      <c r="I155" s="92">
        <f t="shared" si="63"/>
        <v>677171.33294797654</v>
      </c>
      <c r="J155" s="92">
        <f t="shared" si="63"/>
        <v>665628.63977272704</v>
      </c>
      <c r="K155" s="92">
        <f t="shared" si="63"/>
        <v>654472.85251396627</v>
      </c>
      <c r="L155" s="92">
        <f t="shared" si="63"/>
        <v>643684.83846153831</v>
      </c>
      <c r="M155" s="92">
        <f t="shared" si="63"/>
        <v>633246.70594594581</v>
      </c>
      <c r="N155" s="92">
        <f t="shared" si="63"/>
        <v>623141.70531914872</v>
      </c>
      <c r="O155" s="92">
        <f t="shared" si="63"/>
        <v>618013.50812407664</v>
      </c>
      <c r="P155" s="92">
        <f t="shared" si="63"/>
        <v>612969.02783591452</v>
      </c>
      <c r="Q155" s="92">
        <f t="shared" si="63"/>
        <v>608006.23105667403</v>
      </c>
      <c r="R155" s="92">
        <f t="shared" si="63"/>
        <v>603123.14971169666</v>
      </c>
      <c r="S155" s="92">
        <f t="shared" si="63"/>
        <v>598317.87844739517</v>
      </c>
      <c r="T155" s="92">
        <f t="shared" si="63"/>
        <v>593348.05814424611</v>
      </c>
      <c r="U155" s="92">
        <f t="shared" si="63"/>
        <v>588460.11954992963</v>
      </c>
      <c r="V155" s="92">
        <f t="shared" si="63"/>
        <v>583652.05559984047</v>
      </c>
      <c r="W155" s="92">
        <f t="shared" si="63"/>
        <v>578921.92429333855</v>
      </c>
      <c r="X155" s="92">
        <f t="shared" si="63"/>
        <v>574267.84607843123</v>
      </c>
      <c r="Y155" s="92">
        <f t="shared" si="63"/>
        <v>569798.8356031127</v>
      </c>
      <c r="Z155" s="92">
        <f t="shared" si="63"/>
        <v>565398.84459459444</v>
      </c>
      <c r="AA155" s="92">
        <f t="shared" si="63"/>
        <v>561066.28639846726</v>
      </c>
      <c r="AB155" s="92">
        <f t="shared" si="63"/>
        <v>556799.62262357399</v>
      </c>
      <c r="AC155" s="92">
        <f t="shared" si="63"/>
        <v>552597.36132075463</v>
      </c>
    </row>
    <row r="156" spans="1:30" s="134" customFormat="1" x14ac:dyDescent="0.85">
      <c r="A156" s="201" t="s">
        <v>276</v>
      </c>
      <c r="B156" s="202"/>
      <c r="C156" s="202"/>
      <c r="D156" s="202"/>
      <c r="E156" s="202"/>
      <c r="F156" s="202"/>
      <c r="G156" s="202"/>
      <c r="H156" s="202"/>
      <c r="I156" s="202"/>
      <c r="J156" s="202"/>
      <c r="K156" s="202"/>
      <c r="L156" s="202"/>
      <c r="M156" s="202"/>
      <c r="N156" s="202"/>
      <c r="O156" s="202"/>
      <c r="P156" s="202"/>
      <c r="Q156" s="202"/>
      <c r="R156" s="202"/>
      <c r="S156" s="202"/>
      <c r="T156" s="202"/>
      <c r="U156" s="202"/>
      <c r="V156" s="202"/>
      <c r="W156" s="202"/>
      <c r="X156" s="202"/>
      <c r="Y156" s="202"/>
      <c r="Z156" s="202"/>
      <c r="AA156" s="202"/>
      <c r="AB156" s="202"/>
      <c r="AC156" s="203"/>
    </row>
    <row r="157" spans="1:30" s="132" customFormat="1" x14ac:dyDescent="0.7">
      <c r="A157" s="65"/>
      <c r="B157" s="2">
        <v>2023</v>
      </c>
      <c r="C157" s="2">
        <v>2024</v>
      </c>
      <c r="D157" s="2">
        <v>2025</v>
      </c>
      <c r="E157" s="2">
        <v>2026</v>
      </c>
      <c r="F157" s="2">
        <v>2027</v>
      </c>
      <c r="G157" s="2">
        <v>2028</v>
      </c>
      <c r="H157" s="2">
        <v>2029</v>
      </c>
      <c r="I157" s="2">
        <v>2030</v>
      </c>
      <c r="J157" s="2">
        <v>2031</v>
      </c>
      <c r="K157" s="2">
        <v>2032</v>
      </c>
      <c r="L157" s="2">
        <v>2033</v>
      </c>
      <c r="M157" s="2">
        <v>2034</v>
      </c>
      <c r="N157" s="2">
        <v>2035</v>
      </c>
      <c r="O157" s="2">
        <v>2036</v>
      </c>
      <c r="P157" s="2">
        <v>2037</v>
      </c>
      <c r="Q157" s="2">
        <v>2038</v>
      </c>
      <c r="R157" s="2">
        <v>2039</v>
      </c>
      <c r="S157" s="2">
        <v>2040</v>
      </c>
      <c r="T157" s="2">
        <v>2041</v>
      </c>
      <c r="U157" s="2">
        <v>2042</v>
      </c>
      <c r="V157" s="2">
        <v>2043</v>
      </c>
      <c r="W157" s="2">
        <v>2044</v>
      </c>
      <c r="X157" s="2">
        <v>2045</v>
      </c>
      <c r="Y157" s="2">
        <v>2046</v>
      </c>
      <c r="Z157" s="2">
        <v>2047</v>
      </c>
      <c r="AA157" s="2">
        <v>2048</v>
      </c>
      <c r="AB157" s="2">
        <v>2049</v>
      </c>
      <c r="AC157" s="2">
        <v>2050</v>
      </c>
    </row>
    <row r="158" spans="1:30" s="134" customFormat="1" x14ac:dyDescent="0.85">
      <c r="A158" s="89" t="s">
        <v>33</v>
      </c>
      <c r="B158" s="249"/>
      <c r="C158" s="249"/>
      <c r="D158" s="249"/>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c r="AA158" s="249"/>
      <c r="AB158" s="249"/>
      <c r="AC158" s="250"/>
    </row>
    <row r="159" spans="1:30" s="32" customFormat="1" ht="20.399999999999999" x14ac:dyDescent="0.7">
      <c r="A159" s="66" t="s">
        <v>142</v>
      </c>
      <c r="B159" s="21">
        <f>B151/'Emission Factors and Constants'!$A$7*'Forecast Parameters'!B125</f>
        <v>22.836943726709396</v>
      </c>
      <c r="C159" s="21">
        <f>C151/'Emission Factors and Constants'!$A$7*'Forecast Parameters'!C125</f>
        <v>20.679315281405493</v>
      </c>
      <c r="D159" s="21">
        <f>D151/'Emission Factors and Constants'!$A$7*'Forecast Parameters'!D125</f>
        <v>18.601498531022518</v>
      </c>
      <c r="E159" s="21">
        <f>E151/'Emission Factors and Constants'!$A$7*'Forecast Parameters'!E125</f>
        <v>16.690498681545925</v>
      </c>
      <c r="F159" s="21">
        <f>F151/'Emission Factors and Constants'!$A$7*'Forecast Parameters'!F125</f>
        <v>14.84334818800607</v>
      </c>
      <c r="G159" s="21">
        <f>G151/'Emission Factors and Constants'!$A$7*'Forecast Parameters'!G125</f>
        <v>13.060047050402957</v>
      </c>
      <c r="H159" s="21">
        <f>H151/'Emission Factors and Constants'!$A$7*'Forecast Parameters'!H125</f>
        <v>11.340595268736577</v>
      </c>
      <c r="I159" s="21">
        <f>I151/'Emission Factors and Constants'!$A$7*'Forecast Parameters'!I125</f>
        <v>9.6849928430069365</v>
      </c>
      <c r="J159" s="21">
        <f>J151/'Emission Factors and Constants'!$A$7*'Forecast Parameters'!J125</f>
        <v>8.1246393455640415</v>
      </c>
      <c r="K159" s="21">
        <f>K151/'Emission Factors and Constants'!$A$7*'Forecast Parameters'!K125</f>
        <v>6.6174936447350889</v>
      </c>
      <c r="L159" s="21">
        <f>L151/'Emission Factors and Constants'!$A$7*'Forecast Parameters'!L125</f>
        <v>5.6762122211305313</v>
      </c>
      <c r="M159" s="21">
        <f>M151/'Emission Factors and Constants'!$A$7*'Forecast Parameters'!M125</f>
        <v>4.7675292883867346</v>
      </c>
      <c r="N159" s="21">
        <f>N151/'Emission Factors and Constants'!$A$7*'Forecast Parameters'!N125</f>
        <v>3.8914448465037021</v>
      </c>
      <c r="O159" s="21">
        <f>O151/'Emission Factors and Constants'!$A$7*'Forecast Parameters'!O125</f>
        <v>3.0903369336004265</v>
      </c>
      <c r="P159" s="21">
        <f>P151/'Emission Factors and Constants'!$A$7*'Forecast Parameters'!P125</f>
        <v>2.3006384924984191</v>
      </c>
      <c r="Q159" s="21">
        <f>Q151/'Emission Factors and Constants'!$A$7*'Forecast Parameters'!Q125</f>
        <v>1.5223495231976789</v>
      </c>
      <c r="R159" s="21">
        <f>R151/'Emission Factors and Constants'!$A$7*'Forecast Parameters'!R125</f>
        <v>0.75547002569820554</v>
      </c>
      <c r="S159" s="21">
        <f>S151/'Emission Factors and Constants'!$A$7*'Forecast Parameters'!S125</f>
        <v>0</v>
      </c>
      <c r="T159" s="21">
        <f>T151/'Emission Factors and Constants'!$A$7*'Forecast Parameters'!T125</f>
        <v>0</v>
      </c>
      <c r="U159" s="21">
        <f>U151/'Emission Factors and Constants'!$A$7*'Forecast Parameters'!U125</f>
        <v>0</v>
      </c>
      <c r="V159" s="21">
        <f>V151/'Emission Factors and Constants'!$A$7*'Forecast Parameters'!V125</f>
        <v>0</v>
      </c>
      <c r="W159" s="21">
        <f>W151/'Emission Factors and Constants'!$A$7*'Forecast Parameters'!W125</f>
        <v>0</v>
      </c>
      <c r="X159" s="21">
        <f>X151/'Emission Factors and Constants'!$A$7*'Forecast Parameters'!X125</f>
        <v>0</v>
      </c>
      <c r="Y159" s="21">
        <f>Y151/'Emission Factors and Constants'!$A$7*'Forecast Parameters'!Y125</f>
        <v>0</v>
      </c>
      <c r="Z159" s="21">
        <f>Z151/'Emission Factors and Constants'!$A$7*'Forecast Parameters'!Z125</f>
        <v>0</v>
      </c>
      <c r="AA159" s="21">
        <f>AA151/'Emission Factors and Constants'!$A$7*'Forecast Parameters'!AA125</f>
        <v>0</v>
      </c>
      <c r="AB159" s="21">
        <f>AB151/'Emission Factors and Constants'!$A$7*'Forecast Parameters'!AB125</f>
        <v>0</v>
      </c>
      <c r="AC159" s="21">
        <f>AC151/'Emission Factors and Constants'!$A$7*'Forecast Parameters'!AC125</f>
        <v>0</v>
      </c>
    </row>
    <row r="160" spans="1:30" s="32" customFormat="1" ht="20.399999999999999" x14ac:dyDescent="0.7">
      <c r="A160" s="66" t="s">
        <v>143</v>
      </c>
      <c r="B160" s="21">
        <f>B159*$D$180</f>
        <v>0.62449656859951785</v>
      </c>
      <c r="C160" s="21">
        <f t="shared" ref="C160:AC160" si="64">C159*$D$180</f>
        <v>0.56549429681876795</v>
      </c>
      <c r="D160" s="21">
        <f t="shared" si="64"/>
        <v>0.50867454692924363</v>
      </c>
      <c r="E160" s="21">
        <f t="shared" si="64"/>
        <v>0.45641655378997131</v>
      </c>
      <c r="F160" s="21">
        <f t="shared" si="64"/>
        <v>0.40590457816367942</v>
      </c>
      <c r="G160" s="21">
        <f t="shared" si="64"/>
        <v>0.35713862005036795</v>
      </c>
      <c r="H160" s="21">
        <f t="shared" si="64"/>
        <v>0.31011867945003674</v>
      </c>
      <c r="I160" s="21">
        <f t="shared" si="64"/>
        <v>0.26484475636268601</v>
      </c>
      <c r="J160" s="21">
        <f t="shared" si="64"/>
        <v>0.22217550006392506</v>
      </c>
      <c r="K160" s="21">
        <f t="shared" si="64"/>
        <v>0.18096125835931426</v>
      </c>
      <c r="L160" s="21">
        <f t="shared" si="64"/>
        <v>0.15522107936854979</v>
      </c>
      <c r="M160" s="21">
        <f t="shared" si="64"/>
        <v>0.13037233514802818</v>
      </c>
      <c r="N160" s="21">
        <f t="shared" si="64"/>
        <v>0.10641502569774949</v>
      </c>
      <c r="O160" s="21">
        <f t="shared" si="64"/>
        <v>8.4508016219029536E-2</v>
      </c>
      <c r="P160" s="21">
        <f t="shared" si="64"/>
        <v>6.2913008909894624E-2</v>
      </c>
      <c r="Q160" s="21">
        <f t="shared" si="64"/>
        <v>4.1630003770344731E-2</v>
      </c>
      <c r="R160" s="21">
        <f t="shared" si="64"/>
        <v>2.0659000800379846E-2</v>
      </c>
      <c r="S160" s="21">
        <f t="shared" si="64"/>
        <v>0</v>
      </c>
      <c r="T160" s="21">
        <f t="shared" si="64"/>
        <v>0</v>
      </c>
      <c r="U160" s="21">
        <f t="shared" si="64"/>
        <v>0</v>
      </c>
      <c r="V160" s="21">
        <f t="shared" si="64"/>
        <v>0</v>
      </c>
      <c r="W160" s="21">
        <f t="shared" si="64"/>
        <v>0</v>
      </c>
      <c r="X160" s="21">
        <f t="shared" si="64"/>
        <v>0</v>
      </c>
      <c r="Y160" s="21">
        <f t="shared" si="64"/>
        <v>0</v>
      </c>
      <c r="Z160" s="21">
        <f t="shared" si="64"/>
        <v>0</v>
      </c>
      <c r="AA160" s="21">
        <f t="shared" si="64"/>
        <v>0</v>
      </c>
      <c r="AB160" s="21">
        <f t="shared" si="64"/>
        <v>0</v>
      </c>
      <c r="AC160" s="21">
        <f t="shared" si="64"/>
        <v>0</v>
      </c>
    </row>
    <row r="161" spans="1:29" s="134" customFormat="1" x14ac:dyDescent="0.85">
      <c r="A161" s="89" t="s">
        <v>272</v>
      </c>
      <c r="B161" s="249"/>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c r="AA161" s="249"/>
      <c r="AB161" s="249"/>
      <c r="AC161" s="250"/>
    </row>
    <row r="162" spans="1:29" s="32" customFormat="1" ht="20.399999999999999" x14ac:dyDescent="0.3">
      <c r="A162" s="66" t="s">
        <v>240</v>
      </c>
      <c r="B162" s="92">
        <f>B152*'Emission Factors and Constants'!$C$85+B136*B133*'Emission Factors and Constants'!$C$86*(1/'Emission Factors and Constants'!$A$10)*'Emission Factors and Constants'!$C$26+'Emission Factors and Constants'!$C$27*(1/'Emission Factors and Constants'!$A$10)*'Emission Factors and Constants'!$C$87*B136*B133</f>
        <v>86.202060365217392</v>
      </c>
      <c r="C162" s="92">
        <f>C152*'Emission Factors and Constants'!$C$85+C136*C133*'Emission Factors and Constants'!$C$86*(1/'Emission Factors and Constants'!$A$10)*'Emission Factors and Constants'!$C$26+'Emission Factors and Constants'!$C$27*(1/'Emission Factors and Constants'!$A$10)*'Emission Factors and Constants'!$C$87*C136*C133</f>
        <v>85.879691765081347</v>
      </c>
      <c r="D162" s="92">
        <f>D152*'Emission Factors and Constants'!$C$85+D136*D133*'Emission Factors and Constants'!$C$86*(1/'Emission Factors and Constants'!$A$10)*'Emission Factors and Constants'!$C$26+'Emission Factors and Constants'!$C$27*(1/'Emission Factors and Constants'!$A$10)*'Emission Factors and Constants'!$C$87*D136*D133</f>
        <v>85.57210694788148</v>
      </c>
      <c r="E162" s="92">
        <f>E152*'Emission Factors and Constants'!$C$85+E136*E133*'Emission Factors and Constants'!$C$86*(1/'Emission Factors and Constants'!$A$10)*'Emission Factors and Constants'!$C$26+'Emission Factors and Constants'!$C$27*(1/'Emission Factors and Constants'!$A$10)*'Emission Factors and Constants'!$C$87*E136*E133</f>
        <v>85.310303585648384</v>
      </c>
      <c r="F162" s="92">
        <f>F152*'Emission Factors and Constants'!$C$85+F136*F133*'Emission Factors and Constants'!$C$86*(1/'Emission Factors and Constants'!$A$10)*'Emission Factors and Constants'!$C$26+'Emission Factors and Constants'!$C$27*(1/'Emission Factors and Constants'!$A$10)*'Emission Factors and Constants'!$C$87*F136*F133</f>
        <v>85.058754455473363</v>
      </c>
      <c r="G162" s="92">
        <f>G152*'Emission Factors and Constants'!$C$85+G136*G133*'Emission Factors and Constants'!$C$86*(1/'Emission Factors and Constants'!$A$10)*'Emission Factors and Constants'!$C$26+'Emission Factors and Constants'!$C$27*(1/'Emission Factors and Constants'!$A$10)*'Emission Factors and Constants'!$C$87*G136*G133</f>
        <v>84.816868677237849</v>
      </c>
      <c r="H162" s="92">
        <f>H152*'Emission Factors and Constants'!$C$85+H136*H133*'Emission Factors and Constants'!$C$86*(1/'Emission Factors and Constants'!$A$10)*'Emission Factors and Constants'!$C$26+'Emission Factors and Constants'!$C$27*(1/'Emission Factors and Constants'!$A$10)*'Emission Factors and Constants'!$C$87*H136*H133</f>
        <v>84.584099913022996</v>
      </c>
      <c r="I162" s="92">
        <f>I152*'Emission Factors and Constants'!$C$85+I136*I133*'Emission Factors and Constants'!$C$86*(1/'Emission Factors and Constants'!$A$10)*'Emission Factors and Constants'!$C$26+'Emission Factors and Constants'!$C$27*(1/'Emission Factors and Constants'!$A$10)*'Emission Factors and Constants'!$C$87*I136*I133</f>
        <v>84.359942247599903</v>
      </c>
      <c r="J162" s="92">
        <f>J152*'Emission Factors and Constants'!$C$85+J136*J133*'Emission Factors and Constants'!$C$86*(1/'Emission Factors and Constants'!$A$10)*'Emission Factors and Constants'!$C$26+'Emission Factors and Constants'!$C$27*(1/'Emission Factors and Constants'!$A$10)*'Emission Factors and Constants'!$C$87*J136*J133</f>
        <v>84.157197370528664</v>
      </c>
      <c r="K162" s="92">
        <f>K152*'Emission Factors and Constants'!$C$85+K136*K133*'Emission Factors and Constants'!$C$86*(1/'Emission Factors and Constants'!$A$10)*'Emission Factors and Constants'!$C$26+'Emission Factors and Constants'!$C$27*(1/'Emission Factors and Constants'!$A$10)*'Emission Factors and Constants'!$C$87*K136*K133</f>
        <v>83.9612484111246</v>
      </c>
      <c r="L162" s="92">
        <f>L152*'Emission Factors and Constants'!$C$85+L136*L133*'Emission Factors and Constants'!$C$86*(1/'Emission Factors and Constants'!$A$10)*'Emission Factors and Constants'!$C$26+'Emission Factors and Constants'!$C$27*(1/'Emission Factors and Constants'!$A$10)*'Emission Factors and Constants'!$C$87*L136*L133</f>
        <v>83.771759307525087</v>
      </c>
      <c r="M162" s="92">
        <f>M152*'Emission Factors and Constants'!$C$85+M136*M133*'Emission Factors and Constants'!$C$86*(1/'Emission Factors and Constants'!$A$10)*'Emission Factors and Constants'!$C$26+'Emission Factors and Constants'!$C$27*(1/'Emission Factors and Constants'!$A$10)*'Emission Factors and Constants'!$C$87*M136*M133</f>
        <v>83.588415796474735</v>
      </c>
      <c r="N162" s="92">
        <f>N152*'Emission Factors and Constants'!$C$85+N136*N133*'Emission Factors and Constants'!$C$86*(1/'Emission Factors and Constants'!$A$10)*'Emission Factors and Constants'!$C$26+'Emission Factors and Constants'!$C$27*(1/'Emission Factors and Constants'!$A$10)*'Emission Factors and Constants'!$C$87*N136*N133</f>
        <v>83.410923674074937</v>
      </c>
      <c r="O162" s="92">
        <f>O152*'Emission Factors and Constants'!$C$85+O136*O133*'Emission Factors and Constants'!$C$86*(1/'Emission Factors and Constants'!$A$10)*'Emission Factors and Constants'!$C$26+'Emission Factors and Constants'!$C$27*(1/'Emission Factors and Constants'!$A$10)*'Emission Factors and Constants'!$C$87*O136*O133</f>
        <v>83.320848013730654</v>
      </c>
      <c r="P162" s="92">
        <f>P152*'Emission Factors and Constants'!$C$85+P136*P133*'Emission Factors and Constants'!$C$86*(1/'Emission Factors and Constants'!$A$10)*'Emission Factors and Constants'!$C$26+'Emission Factors and Constants'!$C$27*(1/'Emission Factors and Constants'!$A$10)*'Emission Factors and Constants'!$C$87*P136*P133</f>
        <v>83.232242822517165</v>
      </c>
      <c r="Q162" s="92">
        <f>Q152*'Emission Factors and Constants'!$C$85+Q136*Q133*'Emission Factors and Constants'!$C$86*(1/'Emission Factors and Constants'!$A$10)*'Emission Factors and Constants'!$C$26+'Emission Factors and Constants'!$C$27*(1/'Emission Factors and Constants'!$A$10)*'Emission Factors and Constants'!$C$87*Q136*Q133</f>
        <v>83.145072384244216</v>
      </c>
      <c r="R162" s="92">
        <f>R152*'Emission Factors and Constants'!$C$85+R136*R133*'Emission Factors and Constants'!$C$86*(1/'Emission Factors and Constants'!$A$10)*'Emission Factors and Constants'!$C$26+'Emission Factors and Constants'!$C$27*(1/'Emission Factors and Constants'!$A$10)*'Emission Factors and Constants'!$C$87*R136*R133</f>
        <v>83.059302130111561</v>
      </c>
      <c r="S162" s="92">
        <f>S152*'Emission Factors and Constants'!$C$85+S136*S133*'Emission Factors and Constants'!$C$86*(1/'Emission Factors and Constants'!$A$10)*'Emission Factors and Constants'!$C$26+'Emission Factors and Constants'!$C$27*(1/'Emission Factors and Constants'!$A$10)*'Emission Factors and Constants'!$C$87*S136*S133</f>
        <v>82.974898593000844</v>
      </c>
      <c r="T162" s="92">
        <f>T152*'Emission Factors and Constants'!$C$85+T136*T133*'Emission Factors and Constants'!$C$86*(1/'Emission Factors and Constants'!$A$10)*'Emission Factors and Constants'!$C$26+'Emission Factors and Constants'!$C$27*(1/'Emission Factors and Constants'!$A$10)*'Emission Factors and Constants'!$C$87*T136*T133</f>
        <v>82.887604788069027</v>
      </c>
      <c r="U162" s="92">
        <f>U152*'Emission Factors and Constants'!$C$85+U136*U133*'Emission Factors and Constants'!$C$86*(1/'Emission Factors and Constants'!$A$10)*'Emission Factors and Constants'!$C$26+'Emission Factors and Constants'!$C$27*(1/'Emission Factors and Constants'!$A$10)*'Emission Factors and Constants'!$C$87*U136*U133</f>
        <v>82.801749217415775</v>
      </c>
      <c r="V162" s="92">
        <f>V152*'Emission Factors and Constants'!$C$85+V136*V133*'Emission Factors and Constants'!$C$86*(1/'Emission Factors and Constants'!$A$10)*'Emission Factors and Constants'!$C$26+'Emission Factors and Constants'!$C$27*(1/'Emission Factors and Constants'!$A$10)*'Emission Factors and Constants'!$C$87*V136*V133</f>
        <v>82.717296627390965</v>
      </c>
      <c r="W162" s="92">
        <f>W152*'Emission Factors and Constants'!$C$85+W136*W133*'Emission Factors and Constants'!$C$86*(1/'Emission Factors and Constants'!$A$10)*'Emission Factors and Constants'!$C$26+'Emission Factors and Constants'!$C$27*(1/'Emission Factors and Constants'!$A$10)*'Emission Factors and Constants'!$C$87*W136*W133</f>
        <v>82.634212907178778</v>
      </c>
      <c r="X162" s="92">
        <f>X152*'Emission Factors and Constants'!$C$85+X136*X133*'Emission Factors and Constants'!$C$86*(1/'Emission Factors and Constants'!$A$10)*'Emission Factors and Constants'!$C$26+'Emission Factors and Constants'!$C$27*(1/'Emission Factors and Constants'!$A$10)*'Emission Factors and Constants'!$C$87*X136*X133</f>
        <v>82.552465042860192</v>
      </c>
      <c r="Y162" s="92">
        <f>Y152*'Emission Factors and Constants'!$C$85+Y136*Y133*'Emission Factors and Constants'!$C$86*(1/'Emission Factors and Constants'!$A$10)*'Emission Factors and Constants'!$C$26+'Emission Factors and Constants'!$C$27*(1/'Emission Factors and Constants'!$A$10)*'Emission Factors and Constants'!$C$87*Y136*Y133</f>
        <v>82.473967852846386</v>
      </c>
      <c r="Z162" s="92">
        <f>Z152*'Emission Factors and Constants'!$C$85+Z136*Z133*'Emission Factors and Constants'!$C$86*(1/'Emission Factors and Constants'!$A$10)*'Emission Factors and Constants'!$C$26+'Emission Factors and Constants'!$C$27*(1/'Emission Factors and Constants'!$A$10)*'Emission Factors and Constants'!$C$87*Z136*Z133</f>
        <v>82.396682974647476</v>
      </c>
      <c r="AA162" s="92">
        <f>AA152*'Emission Factors and Constants'!$C$85+AA136*AA133*'Emission Factors and Constants'!$C$86*(1/'Emission Factors and Constants'!$A$10)*'Emission Factors and Constants'!$C$26+'Emission Factors and Constants'!$C$27*(1/'Emission Factors and Constants'!$A$10)*'Emission Factors and Constants'!$C$87*AA136*AA133</f>
        <v>82.320582539026319</v>
      </c>
      <c r="AB162" s="92">
        <f>AB152*'Emission Factors and Constants'!$C$85+AB136*AB133*'Emission Factors and Constants'!$C$86*(1/'Emission Factors and Constants'!$A$10)*'Emission Factors and Constants'!$C$26+'Emission Factors and Constants'!$C$27*(1/'Emission Factors and Constants'!$A$10)*'Emission Factors and Constants'!$C$87*AB136*AB133</f>
        <v>82.245639524479259</v>
      </c>
      <c r="AC162" s="92">
        <f>AC152*'Emission Factors and Constants'!$C$85+AC136*AC133*'Emission Factors and Constants'!$C$86*(1/'Emission Factors and Constants'!$A$10)*'Emission Factors and Constants'!$C$26+'Emission Factors and Constants'!$C$27*(1/'Emission Factors and Constants'!$A$10)*'Emission Factors and Constants'!$C$87*AC136*AC133</f>
        <v>82.171827725246104</v>
      </c>
    </row>
    <row r="163" spans="1:29" s="32" customFormat="1" ht="20.399999999999999" x14ac:dyDescent="0.3">
      <c r="A163" s="66" t="s">
        <v>222</v>
      </c>
      <c r="B163" s="92">
        <f>B153*'Emission Factors and Constants'!$C$54+B137*B133*'Emission Factors and Constants'!$C$57*(1/'Emission Factors and Constants'!$A$10)*'Emission Factors and Constants'!$C$26+'Emission Factors and Constants'!$C$27*(1/'Emission Factors and Constants'!$A$10)*'Emission Factors and Constants'!$C$61*B137*B133</f>
        <v>2543.830091329748</v>
      </c>
      <c r="C163" s="92">
        <f>C153*'Emission Factors and Constants'!$C$54+C137*C133*'Emission Factors and Constants'!$C$57*(1/'Emission Factors and Constants'!$A$10)*'Emission Factors and Constants'!$C$26+'Emission Factors and Constants'!$C$27*(1/'Emission Factors and Constants'!$A$10)*'Emission Factors and Constants'!$C$61*C137*C133</f>
        <v>2484.7002309834643</v>
      </c>
      <c r="D163" s="92">
        <f>D153*'Emission Factors and Constants'!$C$54+D137*D133*'Emission Factors and Constants'!$C$57*(1/'Emission Factors and Constants'!$A$10)*'Emission Factors and Constants'!$C$26+'Emission Factors and Constants'!$C$27*(1/'Emission Factors and Constants'!$A$10)*'Emission Factors and Constants'!$C$61*D137*D133</f>
        <v>2428.2820585001941</v>
      </c>
      <c r="E163" s="92">
        <f>E153*'Emission Factors and Constants'!$C$54+E137*E133*'Emission Factors and Constants'!$C$57*(1/'Emission Factors and Constants'!$A$10)*'Emission Factors and Constants'!$C$26+'Emission Factors and Constants'!$C$27*(1/'Emission Factors and Constants'!$A$10)*'Emission Factors and Constants'!$C$61*E137*E133</f>
        <v>2380.2612641657033</v>
      </c>
      <c r="F163" s="92">
        <f>F153*'Emission Factors and Constants'!$C$54+F137*F133*'Emission Factors and Constants'!$C$57*(1/'Emission Factors and Constants'!$A$10)*'Emission Factors and Constants'!$C$26+'Emission Factors and Constants'!$C$27*(1/'Emission Factors and Constants'!$A$10)*'Emission Factors and Constants'!$C$61*F137*F133</f>
        <v>2334.1213332567982</v>
      </c>
      <c r="G163" s="92">
        <f>G153*'Emission Factors and Constants'!$C$54+G137*G133*'Emission Factors and Constants'!$C$57*(1/'Emission Factors and Constants'!$A$10)*'Emission Factors and Constants'!$C$26+'Emission Factors and Constants'!$C$27*(1/'Emission Factors and Constants'!$A$10)*'Emission Factors and Constants'!$C$61*G137*G133</f>
        <v>2289.7538846877314</v>
      </c>
      <c r="H163" s="92">
        <f>H153*'Emission Factors and Constants'!$C$54+H137*H133*'Emission Factors and Constants'!$C$57*(1/'Emission Factors and Constants'!$A$10)*'Emission Factors and Constants'!$C$26+'Emission Factors and Constants'!$C$27*(1/'Emission Factors and Constants'!$A$10)*'Emission Factors and Constants'!$C$61*H137*H133</f>
        <v>2247.0587074428227</v>
      </c>
      <c r="I163" s="92">
        <f>I153*'Emission Factors and Constants'!$C$54+I137*I133*'Emission Factors and Constants'!$C$57*(1/'Emission Factors and Constants'!$A$10)*'Emission Factors and Constants'!$C$26+'Emission Factors and Constants'!$C$27*(1/'Emission Factors and Constants'!$A$10)*'Emission Factors and Constants'!$C$61*I137*I133</f>
        <v>2205.9430049630432</v>
      </c>
      <c r="J163" s="92">
        <f>J153*'Emission Factors and Constants'!$C$54+J137*J133*'Emission Factors and Constants'!$C$57*(1/'Emission Factors and Constants'!$A$10)*'Emission Factors and Constants'!$C$26+'Emission Factors and Constants'!$C$27*(1/'Emission Factors and Constants'!$A$10)*'Emission Factors and Constants'!$C$61*J137*J133</f>
        <v>2168.7549033238392</v>
      </c>
      <c r="K163" s="92">
        <f>K153*'Emission Factors and Constants'!$C$54+K137*K133*'Emission Factors and Constants'!$C$57*(1/'Emission Factors and Constants'!$A$10)*'Emission Factors and Constants'!$C$26+'Emission Factors and Constants'!$C$27*(1/'Emission Factors and Constants'!$A$10)*'Emission Factors and Constants'!$C$61*K137*K133</f>
        <v>2132.8133302312012</v>
      </c>
      <c r="L163" s="92">
        <f>L153*'Emission Factors and Constants'!$C$54+L137*L133*'Emission Factors and Constants'!$C$57*(1/'Emission Factors and Constants'!$A$10)*'Emission Factors and Constants'!$C$26+'Emission Factors and Constants'!$C$27*(1/'Emission Factors and Constants'!$A$10)*'Emission Factors and Constants'!$C$61*L137*L133</f>
        <v>2098.0566441635947</v>
      </c>
      <c r="M163" s="92">
        <f>M153*'Emission Factors and Constants'!$C$54+M137*M133*'Emission Factors and Constants'!$C$57*(1/'Emission Factors and Constants'!$A$10)*'Emission Factors and Constants'!$C$26+'Emission Factors and Constants'!$C$27*(1/'Emission Factors and Constants'!$A$10)*'Emission Factors and Constants'!$C$61*M137*M133</f>
        <v>2064.4272019684508</v>
      </c>
      <c r="N163" s="92">
        <f>N153*'Emission Factors and Constants'!$C$54+N137*N133*'Emission Factors and Constants'!$C$57*(1/'Emission Factors and Constants'!$A$10)*'Emission Factors and Constants'!$C$26+'Emission Factors and Constants'!$C$27*(1/'Emission Factors and Constants'!$A$10)*'Emission Factors and Constants'!$C$61*N137*N133</f>
        <v>2031.871039843365</v>
      </c>
      <c r="O163" s="92">
        <f>O153*'Emission Factors and Constants'!$C$54+O137*O133*'Emission Factors and Constants'!$C$57*(1/'Emission Factors and Constants'!$A$10)*'Emission Factors and Constants'!$C$26+'Emission Factors and Constants'!$C$27*(1/'Emission Factors and Constants'!$A$10)*'Emission Factors and Constants'!$C$61*O137*O133</f>
        <v>2015.3490795329978</v>
      </c>
      <c r="P163" s="92">
        <f>P153*'Emission Factors and Constants'!$C$54+P137*P133*'Emission Factors and Constants'!$C$57*(1/'Emission Factors and Constants'!$A$10)*'Emission Factors and Constants'!$C$26+'Emission Factors and Constants'!$C$27*(1/'Emission Factors and Constants'!$A$10)*'Emission Factors and Constants'!$C$61*P137*P133</f>
        <v>1999.0968372854618</v>
      </c>
      <c r="Q163" s="92">
        <f>Q153*'Emission Factors and Constants'!$C$54+Q137*Q133*'Emission Factors and Constants'!$C$57*(1/'Emission Factors and Constants'!$A$10)*'Emission Factors and Constants'!$C$26+'Emission Factors and Constants'!$C$27*(1/'Emission Factors and Constants'!$A$10)*'Emission Factors and Constants'!$C$61*Q137*Q133</f>
        <v>1983.1077619250564</v>
      </c>
      <c r="R163" s="92">
        <f>R153*'Emission Factors and Constants'!$C$54+R137*R133*'Emission Factors and Constants'!$C$57*(1/'Emission Factors and Constants'!$A$10)*'Emission Factors and Constants'!$C$26+'Emission Factors and Constants'!$C$27*(1/'Emission Factors and Constants'!$A$10)*'Emission Factors and Constants'!$C$61*R137*R133</f>
        <v>1967.3755127339491</v>
      </c>
      <c r="S163" s="92">
        <f>S153*'Emission Factors and Constants'!$C$54+S137*S133*'Emission Factors and Constants'!$C$57*(1/'Emission Factors and Constants'!$A$10)*'Emission Factors and Constants'!$C$26+'Emission Factors and Constants'!$C$27*(1/'Emission Factors and Constants'!$A$10)*'Emission Factors and Constants'!$C$61*S137*S133</f>
        <v>1951.8939510682567</v>
      </c>
      <c r="T163" s="92">
        <f>T153*'Emission Factors and Constants'!$C$54+T137*T133*'Emission Factors and Constants'!$C$57*(1/'Emission Factors and Constants'!$A$10)*'Emission Factors and Constants'!$C$26+'Emission Factors and Constants'!$C$27*(1/'Emission Factors and Constants'!$A$10)*'Emission Factors and Constants'!$C$61*T137*T133</f>
        <v>1935.8822474081107</v>
      </c>
      <c r="U163" s="92">
        <f>U153*'Emission Factors and Constants'!$C$54+U137*U133*'Emission Factors and Constants'!$C$57*(1/'Emission Factors and Constants'!$A$10)*'Emission Factors and Constants'!$C$26+'Emission Factors and Constants'!$C$27*(1/'Emission Factors and Constants'!$A$10)*'Emission Factors and Constants'!$C$61*U137*U133</f>
        <v>1920.1343491930393</v>
      </c>
      <c r="V163" s="92">
        <f>V153*'Emission Factors and Constants'!$C$54+V137*V133*'Emission Factors and Constants'!$C$57*(1/'Emission Factors and Constants'!$A$10)*'Emission Factors and Constants'!$C$26+'Emission Factors and Constants'!$C$27*(1/'Emission Factors and Constants'!$A$10)*'Emission Factors and Constants'!$C$61*V137*V133</f>
        <v>1904.6437900878989</v>
      </c>
      <c r="W163" s="92">
        <f>W153*'Emission Factors and Constants'!$C$54+W137*W133*'Emission Factors and Constants'!$C$57*(1/'Emission Factors and Constants'!$A$10)*'Emission Factors and Constants'!$C$26+'Emission Factors and Constants'!$C$27*(1/'Emission Factors and Constants'!$A$10)*'Emission Factors and Constants'!$C$61*W137*W133</f>
        <v>1889.4043133797979</v>
      </c>
      <c r="X163" s="92">
        <f>X153*'Emission Factors and Constants'!$C$54+X137*X133*'Emission Factors and Constants'!$C$57*(1/'Emission Factors and Constants'!$A$10)*'Emission Factors and Constants'!$C$26+'Emission Factors and Constants'!$C$27*(1/'Emission Factors and Constants'!$A$10)*'Emission Factors and Constants'!$C$61*X137*X133</f>
        <v>1874.4098635521009</v>
      </c>
      <c r="Y163" s="92">
        <f>Y153*'Emission Factors and Constants'!$C$54+Y137*Y133*'Emission Factors and Constants'!$C$57*(1/'Emission Factors and Constants'!$A$10)*'Emission Factors and Constants'!$C$26+'Emission Factors and Constants'!$C$27*(1/'Emission Factors and Constants'!$A$10)*'Emission Factors and Constants'!$C$61*Y137*Y133</f>
        <v>1860.0116626071799</v>
      </c>
      <c r="Z163" s="92">
        <f>Z153*'Emission Factors and Constants'!$C$54+Z137*Z133*'Emission Factors and Constants'!$C$57*(1/'Emission Factors and Constants'!$A$10)*'Emission Factors and Constants'!$C$26+'Emission Factors and Constants'!$C$27*(1/'Emission Factors and Constants'!$A$10)*'Emission Factors and Constants'!$C$61*Z137*Z133</f>
        <v>1845.8358277000186</v>
      </c>
      <c r="AA163" s="92">
        <f>AA153*'Emission Factors and Constants'!$C$54+AA137*AA133*'Emission Factors and Constants'!$C$57*(1/'Emission Factors and Constants'!$A$10)*'Emission Factors and Constants'!$C$26+'Emission Factors and Constants'!$C$27*(1/'Emission Factors and Constants'!$A$10)*'Emission Factors and Constants'!$C$61*AA137*AA133</f>
        <v>1831.8772469676794</v>
      </c>
      <c r="AB163" s="92">
        <f>AB153*'Emission Factors and Constants'!$C$54+AB137*AB133*'Emission Factors and Constants'!$C$57*(1/'Emission Factors and Constants'!$A$10)*'Emission Factors and Constants'!$C$26+'Emission Factors and Constants'!$C$27*(1/'Emission Factors and Constants'!$A$10)*'Emission Factors and Constants'!$C$61*AB137*AB133</f>
        <v>1818.1309640411553</v>
      </c>
      <c r="AC163" s="92">
        <f>AC153*'Emission Factors and Constants'!$C$54+AC137*AC133*'Emission Factors and Constants'!$C$57*(1/'Emission Factors and Constants'!$A$10)*'Emission Factors and Constants'!$C$26+'Emission Factors and Constants'!$C$27*(1/'Emission Factors and Constants'!$A$10)*'Emission Factors and Constants'!$C$61*AC137*AC133</f>
        <v>1804.5921721776726</v>
      </c>
    </row>
    <row r="164" spans="1:29" s="32" customFormat="1" ht="20.399999999999999" x14ac:dyDescent="0.3">
      <c r="A164" s="66" t="s">
        <v>224</v>
      </c>
      <c r="B164" s="92">
        <f>B138*B133*'Emission Factors and Constants'!$C$79*(1/'Emission Factors and Constants'!$A$10)*'Emission Factors and Constants'!$C$26+'Emission Factors and Constants'!$C$27*(1/'Emission Factors and Constants'!$A$10)*'Emission Factors and Constants'!$C$82*B138*B133</f>
        <v>3.2924182001933335</v>
      </c>
      <c r="C164" s="92">
        <f>C138*C133*'Emission Factors and Constants'!$C$79*(1/'Emission Factors and Constants'!$A$10)*'Emission Factors and Constants'!$C$26+'Emission Factors and Constants'!$C$27*(1/'Emission Factors and Constants'!$A$10)*'Emission Factors and Constants'!$C$82*C138*C133</f>
        <v>3.2924182001933335</v>
      </c>
      <c r="D164" s="92">
        <f>D138*D133*'Emission Factors and Constants'!$C$79*(1/'Emission Factors and Constants'!$A$10)*'Emission Factors and Constants'!$C$26+'Emission Factors and Constants'!$C$27*(1/'Emission Factors and Constants'!$A$10)*'Emission Factors and Constants'!$C$82*D138*D133</f>
        <v>3.2924182001933335</v>
      </c>
      <c r="E164" s="92">
        <f>E138*E133*'Emission Factors and Constants'!$C$79*(1/'Emission Factors and Constants'!$A$10)*'Emission Factors and Constants'!$C$26+'Emission Factors and Constants'!$C$27*(1/'Emission Factors and Constants'!$A$10)*'Emission Factors and Constants'!$C$82*E138*E133</f>
        <v>3.2924182001933335</v>
      </c>
      <c r="F164" s="92">
        <f>F138*F133*'Emission Factors and Constants'!$C$79*(1/'Emission Factors and Constants'!$A$10)*'Emission Factors and Constants'!$C$26+'Emission Factors and Constants'!$C$27*(1/'Emission Factors and Constants'!$A$10)*'Emission Factors and Constants'!$C$82*F138*F133</f>
        <v>3.2924182001933335</v>
      </c>
      <c r="G164" s="92">
        <f>G138*G133*'Emission Factors and Constants'!$C$79*(1/'Emission Factors and Constants'!$A$10)*'Emission Factors and Constants'!$C$26+'Emission Factors and Constants'!$C$27*(1/'Emission Factors and Constants'!$A$10)*'Emission Factors and Constants'!$C$82*G138*G133</f>
        <v>3.2924182001933335</v>
      </c>
      <c r="H164" s="92">
        <f>H138*H133*'Emission Factors and Constants'!$C$79*(1/'Emission Factors and Constants'!$A$10)*'Emission Factors and Constants'!$C$26+'Emission Factors and Constants'!$C$27*(1/'Emission Factors and Constants'!$A$10)*'Emission Factors and Constants'!$C$82*H138*H133</f>
        <v>3.2924182001933335</v>
      </c>
      <c r="I164" s="92">
        <f>I138*I133*'Emission Factors and Constants'!$C$79*(1/'Emission Factors and Constants'!$A$10)*'Emission Factors and Constants'!$C$26+'Emission Factors and Constants'!$C$27*(1/'Emission Factors and Constants'!$A$10)*'Emission Factors and Constants'!$C$82*I138*I133</f>
        <v>3.2924182001933335</v>
      </c>
      <c r="J164" s="92">
        <f>J138*J133*'Emission Factors and Constants'!$C$79*(1/'Emission Factors and Constants'!$A$10)*'Emission Factors and Constants'!$C$26+'Emission Factors and Constants'!$C$27*(1/'Emission Factors and Constants'!$A$10)*'Emission Factors and Constants'!$C$82*J138*J133</f>
        <v>3.2924182001933335</v>
      </c>
      <c r="K164" s="92">
        <f>K138*K133*'Emission Factors and Constants'!$C$79*(1/'Emission Factors and Constants'!$A$10)*'Emission Factors and Constants'!$C$26+'Emission Factors and Constants'!$C$27*(1/'Emission Factors and Constants'!$A$10)*'Emission Factors and Constants'!$C$82*K138*K133</f>
        <v>3.2924182001933335</v>
      </c>
      <c r="L164" s="92">
        <f>L138*L133*'Emission Factors and Constants'!$C$79*(1/'Emission Factors and Constants'!$A$10)*'Emission Factors and Constants'!$C$26+'Emission Factors and Constants'!$C$27*(1/'Emission Factors and Constants'!$A$10)*'Emission Factors and Constants'!$C$82*L138*L133</f>
        <v>3.2924182001933335</v>
      </c>
      <c r="M164" s="92">
        <f>M138*M133*'Emission Factors and Constants'!$C$79*(1/'Emission Factors and Constants'!$A$10)*'Emission Factors and Constants'!$C$26+'Emission Factors and Constants'!$C$27*(1/'Emission Factors and Constants'!$A$10)*'Emission Factors and Constants'!$C$82*M138*M133</f>
        <v>3.2924182001933335</v>
      </c>
      <c r="N164" s="92">
        <f>N138*N133*'Emission Factors and Constants'!$C$79*(1/'Emission Factors and Constants'!$A$10)*'Emission Factors and Constants'!$C$26+'Emission Factors and Constants'!$C$27*(1/'Emission Factors and Constants'!$A$10)*'Emission Factors and Constants'!$C$82*N138*N133</f>
        <v>3.2924182001933335</v>
      </c>
      <c r="O164" s="92">
        <f>O138*O133*'Emission Factors and Constants'!$C$79*(1/'Emission Factors and Constants'!$A$10)*'Emission Factors and Constants'!$C$26+'Emission Factors and Constants'!$C$27*(1/'Emission Factors and Constants'!$A$10)*'Emission Factors and Constants'!$C$82*O138*O133</f>
        <v>3.2924182001933335</v>
      </c>
      <c r="P164" s="92">
        <f>P138*P133*'Emission Factors and Constants'!$C$79*(1/'Emission Factors and Constants'!$A$10)*'Emission Factors and Constants'!$C$26+'Emission Factors and Constants'!$C$27*(1/'Emission Factors and Constants'!$A$10)*'Emission Factors and Constants'!$C$82*P138*P133</f>
        <v>3.2924182001933335</v>
      </c>
      <c r="Q164" s="92">
        <f>Q138*Q133*'Emission Factors and Constants'!$C$79*(1/'Emission Factors and Constants'!$A$10)*'Emission Factors and Constants'!$C$26+'Emission Factors and Constants'!$C$27*(1/'Emission Factors and Constants'!$A$10)*'Emission Factors and Constants'!$C$82*Q138*Q133</f>
        <v>3.2924182001933335</v>
      </c>
      <c r="R164" s="92">
        <f>R138*R133*'Emission Factors and Constants'!$C$79*(1/'Emission Factors and Constants'!$A$10)*'Emission Factors and Constants'!$C$26+'Emission Factors and Constants'!$C$27*(1/'Emission Factors and Constants'!$A$10)*'Emission Factors and Constants'!$C$82*R138*R133</f>
        <v>3.2924182001933335</v>
      </c>
      <c r="S164" s="92">
        <f>S138*S133*'Emission Factors and Constants'!$C$79*(1/'Emission Factors and Constants'!$A$10)*'Emission Factors and Constants'!$C$26+'Emission Factors and Constants'!$C$27*(1/'Emission Factors and Constants'!$A$10)*'Emission Factors and Constants'!$C$82*S138*S133</f>
        <v>3.2924182001933335</v>
      </c>
      <c r="T164" s="92">
        <f>T138*T133*'Emission Factors and Constants'!$C$79*(1/'Emission Factors and Constants'!$A$10)*'Emission Factors and Constants'!$C$26+'Emission Factors and Constants'!$C$27*(1/'Emission Factors and Constants'!$A$10)*'Emission Factors and Constants'!$C$82*T138*T133</f>
        <v>3.2924182001933335</v>
      </c>
      <c r="U164" s="92">
        <f>U138*U133*'Emission Factors and Constants'!$C$79*(1/'Emission Factors and Constants'!$A$10)*'Emission Factors and Constants'!$C$26+'Emission Factors and Constants'!$C$27*(1/'Emission Factors and Constants'!$A$10)*'Emission Factors and Constants'!$C$82*U138*U133</f>
        <v>3.2924182001933335</v>
      </c>
      <c r="V164" s="92">
        <f>V138*V133*'Emission Factors and Constants'!$C$79*(1/'Emission Factors and Constants'!$A$10)*'Emission Factors and Constants'!$C$26+'Emission Factors and Constants'!$C$27*(1/'Emission Factors and Constants'!$A$10)*'Emission Factors and Constants'!$C$82*V138*V133</f>
        <v>3.2924182001933335</v>
      </c>
      <c r="W164" s="92">
        <f>W138*W133*'Emission Factors and Constants'!$C$79*(1/'Emission Factors and Constants'!$A$10)*'Emission Factors and Constants'!$C$26+'Emission Factors and Constants'!$C$27*(1/'Emission Factors and Constants'!$A$10)*'Emission Factors and Constants'!$C$82*W138*W133</f>
        <v>3.2924182001933335</v>
      </c>
      <c r="X164" s="92">
        <f>X138*X133*'Emission Factors and Constants'!$C$79*(1/'Emission Factors and Constants'!$A$10)*'Emission Factors and Constants'!$C$26+'Emission Factors and Constants'!$C$27*(1/'Emission Factors and Constants'!$A$10)*'Emission Factors and Constants'!$C$82*X138*X133</f>
        <v>3.2924182001933335</v>
      </c>
      <c r="Y164" s="92">
        <f>Y138*Y133*'Emission Factors and Constants'!$C$79*(1/'Emission Factors and Constants'!$A$10)*'Emission Factors and Constants'!$C$26+'Emission Factors and Constants'!$C$27*(1/'Emission Factors and Constants'!$A$10)*'Emission Factors and Constants'!$C$82*Y138*Y133</f>
        <v>3.2924182001933335</v>
      </c>
      <c r="Z164" s="92">
        <f>Z138*Z133*'Emission Factors and Constants'!$C$79*(1/'Emission Factors and Constants'!$A$10)*'Emission Factors and Constants'!$C$26+'Emission Factors and Constants'!$C$27*(1/'Emission Factors and Constants'!$A$10)*'Emission Factors and Constants'!$C$82*Z138*Z133</f>
        <v>3.2924182001933335</v>
      </c>
      <c r="AA164" s="92">
        <f>AA138*AA133*'Emission Factors and Constants'!$C$79*(1/'Emission Factors and Constants'!$A$10)*'Emission Factors and Constants'!$C$26+'Emission Factors and Constants'!$C$27*(1/'Emission Factors and Constants'!$A$10)*'Emission Factors and Constants'!$C$82*AA138*AA133</f>
        <v>3.2924182001933335</v>
      </c>
      <c r="AB164" s="92">
        <f>AB138*AB133*'Emission Factors and Constants'!$C$79*(1/'Emission Factors and Constants'!$A$10)*'Emission Factors and Constants'!$C$26+'Emission Factors and Constants'!$C$27*(1/'Emission Factors and Constants'!$A$10)*'Emission Factors and Constants'!$C$82*AB138*AB133</f>
        <v>3.2924182001933335</v>
      </c>
      <c r="AC164" s="92">
        <f>AC138*AC133*'Emission Factors and Constants'!$C$79*(1/'Emission Factors and Constants'!$A$10)*'Emission Factors and Constants'!$C$26+'Emission Factors and Constants'!$C$27*(1/'Emission Factors and Constants'!$A$10)*'Emission Factors and Constants'!$C$82*AC138*AC133</f>
        <v>3.2924182001933335</v>
      </c>
    </row>
    <row r="165" spans="1:29" s="32" customFormat="1" ht="20.399999999999999" x14ac:dyDescent="0.3">
      <c r="A165" s="66" t="s">
        <v>223</v>
      </c>
      <c r="B165" s="92">
        <f>B155*'Emission Factors and Constants'!$C$65+B139*B133*'Emission Factors and Constants'!$C$69*(1/'Emission Factors and Constants'!$A$10)*'Emission Factors and Constants'!$C$26+'Emission Factors and Constants'!$C$27*(1/'Emission Factors and Constants'!$A$10)*'Emission Factors and Constants'!$C$73*B139*B133</f>
        <v>8077.8073045575156</v>
      </c>
      <c r="C165" s="92">
        <f>C155*'Emission Factors and Constants'!$C$65+C139*C133*'Emission Factors and Constants'!$C$69*(1/'Emission Factors and Constants'!$A$10)*'Emission Factors and Constants'!$C$26+'Emission Factors and Constants'!$C$27*(1/'Emission Factors and Constants'!$A$10)*'Emission Factors and Constants'!$C$73*C139*C133</f>
        <v>7890.4219099551692</v>
      </c>
      <c r="D165" s="92">
        <f>D155*'Emission Factors and Constants'!$C$65+D139*D133*'Emission Factors and Constants'!$C$69*(1/'Emission Factors and Constants'!$A$10)*'Emission Factors and Constants'!$C$26+'Emission Factors and Constants'!$C$27*(1/'Emission Factors and Constants'!$A$10)*'Emission Factors and Constants'!$C$73*D139*D133</f>
        <v>7711.6299856785354</v>
      </c>
      <c r="E165" s="92">
        <f>E155*'Emission Factors and Constants'!$C$65+E139*E133*'Emission Factors and Constants'!$C$69*(1/'Emission Factors and Constants'!$A$10)*'Emission Factors and Constants'!$C$26+'Emission Factors and Constants'!$C$27*(1/'Emission Factors and Constants'!$A$10)*'Emission Factors and Constants'!$C$73*E139*E133</f>
        <v>7559.4497599382903</v>
      </c>
      <c r="F165" s="92">
        <f>F155*'Emission Factors and Constants'!$C$65+F139*F133*'Emission Factors and Constants'!$C$69*(1/'Emission Factors and Constants'!$A$10)*'Emission Factors and Constants'!$C$26+'Emission Factors and Constants'!$C$27*(1/'Emission Factors and Constants'!$A$10)*'Emission Factors and Constants'!$C$73*F139*F133</f>
        <v>7413.2300815954595</v>
      </c>
      <c r="G165" s="92">
        <f>G155*'Emission Factors and Constants'!$C$65+G139*G133*'Emission Factors and Constants'!$C$69*(1/'Emission Factors and Constants'!$A$10)*'Emission Factors and Constants'!$C$26+'Emission Factors and Constants'!$C$27*(1/'Emission Factors and Constants'!$A$10)*'Emission Factors and Constants'!$C$73*G139*G133</f>
        <v>7272.6274857339858</v>
      </c>
      <c r="H165" s="92">
        <f>H155*'Emission Factors and Constants'!$C$65+H139*H133*'Emission Factors and Constants'!$C$69*(1/'Emission Factors and Constants'!$A$10)*'Emission Factors and Constants'!$C$26+'Emission Factors and Constants'!$C$27*(1/'Emission Factors and Constants'!$A$10)*'Emission Factors and Constants'!$C$73*H139*H133</f>
        <v>7137.3243987860196</v>
      </c>
      <c r="I165" s="92">
        <f>I155*'Emission Factors and Constants'!$C$65+I139*I133*'Emission Factors and Constants'!$C$69*(1/'Emission Factors and Constants'!$A$10)*'Emission Factors and Constants'!$C$26+'Emission Factors and Constants'!$C$27*(1/'Emission Factors and Constants'!$A$10)*'Emission Factors and Constants'!$C$73*I139*I133</f>
        <v>7007.0267439563586</v>
      </c>
      <c r="J165" s="92">
        <f>J155*'Emission Factors and Constants'!$C$65+J139*J133*'Emission Factors and Constants'!$C$69*(1/'Emission Factors and Constants'!$A$10)*'Emission Factors and Constants'!$C$26+'Emission Factors and Constants'!$C$27*(1/'Emission Factors and Constants'!$A$10)*'Emission Factors and Constants'!$C$73*J139*J133</f>
        <v>6889.1758466370611</v>
      </c>
      <c r="K165" s="92">
        <f>K155*'Emission Factors and Constants'!$C$65+K139*K133*'Emission Factors and Constants'!$C$69*(1/'Emission Factors and Constants'!$A$10)*'Emission Factors and Constants'!$C$26+'Emission Factors and Constants'!$C$27*(1/'Emission Factors and Constants'!$A$10)*'Emission Factors and Constants'!$C$73*K139*K133</f>
        <v>6775.2752587251134</v>
      </c>
      <c r="L165" s="92">
        <f>L155*'Emission Factors and Constants'!$C$65+L139*L133*'Emission Factors and Constants'!$C$69*(1/'Emission Factors and Constants'!$A$10)*'Emission Factors and Constants'!$C$26+'Emission Factors and Constants'!$C$27*(1/'Emission Factors and Constants'!$A$10)*'Emission Factors and Constants'!$C$73*L139*L133</f>
        <v>6665.1296352498248</v>
      </c>
      <c r="M165" s="92">
        <f>M155*'Emission Factors and Constants'!$C$65+M139*M133*'Emission Factors and Constants'!$C$69*(1/'Emission Factors and Constants'!$A$10)*'Emission Factors and Constants'!$C$26+'Emission Factors and Constants'!$C$27*(1/'Emission Factors and Constants'!$A$10)*'Emission Factors and Constants'!$C$73*M139*M133</f>
        <v>6558.5563022656252</v>
      </c>
      <c r="N165" s="92">
        <f>N155*'Emission Factors and Constants'!$C$65+N139*N133*'Emission Factors and Constants'!$C$69*(1/'Emission Factors and Constants'!$A$10)*'Emission Factors and Constants'!$C$26+'Emission Factors and Constants'!$C$27*(1/'Emission Factors and Constants'!$A$10)*'Emission Factors and Constants'!$C$73*N139*N133</f>
        <v>6455.3842458660265</v>
      </c>
      <c r="O165" s="92">
        <f>O155*'Emission Factors and Constants'!$C$65+O139*O133*'Emission Factors and Constants'!$C$69*(1/'Emission Factors and Constants'!$A$10)*'Emission Factors and Constants'!$C$26+'Emission Factors and Constants'!$C$27*(1/'Emission Factors and Constants'!$A$10)*'Emission Factors and Constants'!$C$73*O139*O133</f>
        <v>6403.0253525043408</v>
      </c>
      <c r="P165" s="92">
        <f>P155*'Emission Factors and Constants'!$C$65+P139*P133*'Emission Factors and Constants'!$C$69*(1/'Emission Factors and Constants'!$A$10)*'Emission Factors and Constants'!$C$26+'Emission Factors and Constants'!$C$27*(1/'Emission Factors and Constants'!$A$10)*'Emission Factors and Constants'!$C$73*P139*P133</f>
        <v>6351.5212087622058</v>
      </c>
      <c r="Q165" s="92">
        <f>Q155*'Emission Factors and Constants'!$C$65+Q139*Q133*'Emission Factors and Constants'!$C$69*(1/'Emission Factors and Constants'!$A$10)*'Emission Factors and Constants'!$C$26+'Emission Factors and Constants'!$C$27*(1/'Emission Factors and Constants'!$A$10)*'Emission Factors and Constants'!$C$73*Q139*Q133</f>
        <v>6300.8510536461599</v>
      </c>
      <c r="R165" s="92">
        <f>R155*'Emission Factors and Constants'!$C$65+R139*R133*'Emission Factors and Constants'!$C$69*(1/'Emission Factors and Constants'!$A$10)*'Emission Factors and Constants'!$C$26+'Emission Factors and Constants'!$C$27*(1/'Emission Factors and Constants'!$A$10)*'Emission Factors and Constants'!$C$73*R139*R133</f>
        <v>6250.9947931139413</v>
      </c>
      <c r="S165" s="92">
        <f>S155*'Emission Factors and Constants'!$C$65+S139*S133*'Emission Factors and Constants'!$C$69*(1/'Emission Factors and Constants'!$A$10)*'Emission Factors and Constants'!$C$26+'Emission Factors and Constants'!$C$27*(1/'Emission Factors and Constants'!$A$10)*'Emission Factors and Constants'!$C$73*S139*S133</f>
        <v>6201.9329735054225</v>
      </c>
      <c r="T165" s="92">
        <f>T155*'Emission Factors and Constants'!$C$65+T139*T133*'Emission Factors and Constants'!$C$69*(1/'Emission Factors and Constants'!$A$10)*'Emission Factors and Constants'!$C$26+'Emission Factors and Constants'!$C$27*(1/'Emission Factors and Constants'!$A$10)*'Emission Factors and Constants'!$C$73*T139*T133</f>
        <v>6151.1911082102706</v>
      </c>
      <c r="U165" s="92">
        <f>U155*'Emission Factors and Constants'!$C$65+U139*U133*'Emission Factors and Constants'!$C$69*(1/'Emission Factors and Constants'!$A$10)*'Emission Factors and Constants'!$C$26+'Emission Factors and Constants'!$C$27*(1/'Emission Factors and Constants'!$A$10)*'Emission Factors and Constants'!$C$73*U139*U133</f>
        <v>6101.2852551623</v>
      </c>
      <c r="V165" s="92">
        <f>V155*'Emission Factors and Constants'!$C$65+V139*V133*'Emission Factors and Constants'!$C$69*(1/'Emission Factors and Constants'!$A$10)*'Emission Factors and Constants'!$C$26+'Emission Factors and Constants'!$C$27*(1/'Emission Factors and Constants'!$A$10)*'Emission Factors and Constants'!$C$73*V139*V133</f>
        <v>6052.194922231889</v>
      </c>
      <c r="W165" s="92">
        <f>W155*'Emission Factors and Constants'!$C$65+W139*W133*'Emission Factors and Constants'!$C$69*(1/'Emission Factors and Constants'!$A$10)*'Emission Factors and Constants'!$C$26+'Emission Factors and Constants'!$C$27*(1/'Emission Factors and Constants'!$A$10)*'Emission Factors and Constants'!$C$73*W139*W133</f>
        <v>6003.9002815925051</v>
      </c>
      <c r="X165" s="92">
        <f>X155*'Emission Factors and Constants'!$C$65+X139*X133*'Emission Factors and Constants'!$C$69*(1/'Emission Factors and Constants'!$A$10)*'Emission Factors and Constants'!$C$26+'Emission Factors and Constants'!$C$27*(1/'Emission Factors and Constants'!$A$10)*'Emission Factors and Constants'!$C$73*X139*X133</f>
        <v>5956.3821430183007</v>
      </c>
      <c r="Y165" s="92">
        <f>Y155*'Emission Factors and Constants'!$C$65+Y139*Y133*'Emission Factors and Constants'!$C$69*(1/'Emission Factors and Constants'!$A$10)*'Emission Factors and Constants'!$C$26+'Emission Factors and Constants'!$C$27*(1/'Emission Factors and Constants'!$A$10)*'Emission Factors and Constants'!$C$73*Y139*Y133</f>
        <v>5910.7535460652989</v>
      </c>
      <c r="Z165" s="92">
        <f>Z155*'Emission Factors and Constants'!$C$65+Z139*Z133*'Emission Factors and Constants'!$C$69*(1/'Emission Factors and Constants'!$A$10)*'Emission Factors and Constants'!$C$26+'Emission Factors and Constants'!$C$27*(1/'Emission Factors and Constants'!$A$10)*'Emission Factors and Constants'!$C$73*Z139*Z133</f>
        <v>5865.8296378683272</v>
      </c>
      <c r="AA165" s="92">
        <f>AA155*'Emission Factors and Constants'!$C$65+AA139*AA133*'Emission Factors and Constants'!$C$69*(1/'Emission Factors and Constants'!$A$10)*'Emission Factors and Constants'!$C$26+'Emission Factors and Constants'!$C$27*(1/'Emission Factors and Constants'!$A$10)*'Emission Factors and Constants'!$C$73*AA139*AA133</f>
        <v>5821.5942186858692</v>
      </c>
      <c r="AB165" s="92">
        <f>AB155*'Emission Factors and Constants'!$C$65+AB139*AB133*'Emission Factors and Constants'!$C$69*(1/'Emission Factors and Constants'!$A$10)*'Emission Factors and Constants'!$C$26+'Emission Factors and Constants'!$C$27*(1/'Emission Factors and Constants'!$A$10)*'Emission Factors and Constants'!$C$73*AB139*AB133</f>
        <v>5778.0315815442082</v>
      </c>
      <c r="AC165" s="92">
        <f>AC155*'Emission Factors and Constants'!$C$65+AC139*AC133*'Emission Factors and Constants'!$C$69*(1/'Emission Factors and Constants'!$A$10)*'Emission Factors and Constants'!$C$26+'Emission Factors and Constants'!$C$27*(1/'Emission Factors and Constants'!$A$10)*'Emission Factors and Constants'!$C$73*AC139*AC133</f>
        <v>5735.1264936424232</v>
      </c>
    </row>
    <row r="166" spans="1:29" s="134" customFormat="1" ht="25.35" customHeight="1" x14ac:dyDescent="0.7">
      <c r="A166" s="137" t="s">
        <v>273</v>
      </c>
      <c r="B166" s="130">
        <f t="shared" ref="B166:AC166" si="65">B159</f>
        <v>22.836943726709396</v>
      </c>
      <c r="C166" s="130">
        <f t="shared" si="65"/>
        <v>20.679315281405493</v>
      </c>
      <c r="D166" s="130">
        <f t="shared" si="65"/>
        <v>18.601498531022518</v>
      </c>
      <c r="E166" s="130">
        <f t="shared" si="65"/>
        <v>16.690498681545925</v>
      </c>
      <c r="F166" s="130">
        <f t="shared" si="65"/>
        <v>14.84334818800607</v>
      </c>
      <c r="G166" s="130">
        <f t="shared" si="65"/>
        <v>13.060047050402957</v>
      </c>
      <c r="H166" s="130">
        <f t="shared" si="65"/>
        <v>11.340595268736577</v>
      </c>
      <c r="I166" s="130">
        <f t="shared" si="65"/>
        <v>9.6849928430069365</v>
      </c>
      <c r="J166" s="130">
        <f t="shared" si="65"/>
        <v>8.1246393455640415</v>
      </c>
      <c r="K166" s="130">
        <f t="shared" si="65"/>
        <v>6.6174936447350889</v>
      </c>
      <c r="L166" s="130">
        <f t="shared" si="65"/>
        <v>5.6762122211305313</v>
      </c>
      <c r="M166" s="130">
        <f t="shared" si="65"/>
        <v>4.7675292883867346</v>
      </c>
      <c r="N166" s="130">
        <f t="shared" si="65"/>
        <v>3.8914448465037021</v>
      </c>
      <c r="O166" s="130">
        <f t="shared" si="65"/>
        <v>3.0903369336004265</v>
      </c>
      <c r="P166" s="130">
        <f t="shared" si="65"/>
        <v>2.3006384924984191</v>
      </c>
      <c r="Q166" s="130">
        <f t="shared" si="65"/>
        <v>1.5223495231976789</v>
      </c>
      <c r="R166" s="130">
        <f t="shared" si="65"/>
        <v>0.75547002569820554</v>
      </c>
      <c r="S166" s="130">
        <f t="shared" si="65"/>
        <v>0</v>
      </c>
      <c r="T166" s="130">
        <f t="shared" si="65"/>
        <v>0</v>
      </c>
      <c r="U166" s="130">
        <f t="shared" si="65"/>
        <v>0</v>
      </c>
      <c r="V166" s="130">
        <f t="shared" si="65"/>
        <v>0</v>
      </c>
      <c r="W166" s="130">
        <f t="shared" si="65"/>
        <v>0</v>
      </c>
      <c r="X166" s="130">
        <f t="shared" si="65"/>
        <v>0</v>
      </c>
      <c r="Y166" s="130">
        <f t="shared" si="65"/>
        <v>0</v>
      </c>
      <c r="Z166" s="130">
        <f t="shared" si="65"/>
        <v>0</v>
      </c>
      <c r="AA166" s="130">
        <f t="shared" si="65"/>
        <v>0</v>
      </c>
      <c r="AB166" s="130">
        <f t="shared" si="65"/>
        <v>0</v>
      </c>
      <c r="AC166" s="130">
        <f t="shared" si="65"/>
        <v>0</v>
      </c>
    </row>
    <row r="167" spans="1:29" s="134" customFormat="1" ht="25.35" customHeight="1" x14ac:dyDescent="0.7">
      <c r="A167" s="137" t="s">
        <v>274</v>
      </c>
      <c r="B167" s="130">
        <f t="shared" ref="B167:AC167" si="66">B160</f>
        <v>0.62449656859951785</v>
      </c>
      <c r="C167" s="130">
        <f t="shared" si="66"/>
        <v>0.56549429681876795</v>
      </c>
      <c r="D167" s="130">
        <f t="shared" si="66"/>
        <v>0.50867454692924363</v>
      </c>
      <c r="E167" s="130">
        <f t="shared" si="66"/>
        <v>0.45641655378997131</v>
      </c>
      <c r="F167" s="130">
        <f t="shared" si="66"/>
        <v>0.40590457816367942</v>
      </c>
      <c r="G167" s="130">
        <f t="shared" si="66"/>
        <v>0.35713862005036795</v>
      </c>
      <c r="H167" s="130">
        <f t="shared" si="66"/>
        <v>0.31011867945003674</v>
      </c>
      <c r="I167" s="130">
        <f t="shared" si="66"/>
        <v>0.26484475636268601</v>
      </c>
      <c r="J167" s="130">
        <f t="shared" si="66"/>
        <v>0.22217550006392506</v>
      </c>
      <c r="K167" s="130">
        <f t="shared" si="66"/>
        <v>0.18096125835931426</v>
      </c>
      <c r="L167" s="130">
        <f t="shared" si="66"/>
        <v>0.15522107936854979</v>
      </c>
      <c r="M167" s="130">
        <f t="shared" si="66"/>
        <v>0.13037233514802818</v>
      </c>
      <c r="N167" s="130">
        <f t="shared" si="66"/>
        <v>0.10641502569774949</v>
      </c>
      <c r="O167" s="130">
        <f t="shared" si="66"/>
        <v>8.4508016219029536E-2</v>
      </c>
      <c r="P167" s="130">
        <f t="shared" si="66"/>
        <v>6.2913008909894624E-2</v>
      </c>
      <c r="Q167" s="130">
        <f t="shared" si="66"/>
        <v>4.1630003770344731E-2</v>
      </c>
      <c r="R167" s="130">
        <f t="shared" si="66"/>
        <v>2.0659000800379846E-2</v>
      </c>
      <c r="S167" s="130">
        <f t="shared" si="66"/>
        <v>0</v>
      </c>
      <c r="T167" s="130">
        <f t="shared" si="66"/>
        <v>0</v>
      </c>
      <c r="U167" s="130">
        <f t="shared" si="66"/>
        <v>0</v>
      </c>
      <c r="V167" s="130">
        <f t="shared" si="66"/>
        <v>0</v>
      </c>
      <c r="W167" s="130">
        <f t="shared" si="66"/>
        <v>0</v>
      </c>
      <c r="X167" s="130">
        <f t="shared" si="66"/>
        <v>0</v>
      </c>
      <c r="Y167" s="130">
        <f t="shared" si="66"/>
        <v>0</v>
      </c>
      <c r="Z167" s="130">
        <f t="shared" si="66"/>
        <v>0</v>
      </c>
      <c r="AA167" s="130">
        <f t="shared" si="66"/>
        <v>0</v>
      </c>
      <c r="AB167" s="130">
        <f t="shared" si="66"/>
        <v>0</v>
      </c>
      <c r="AC167" s="130">
        <f t="shared" si="66"/>
        <v>0</v>
      </c>
    </row>
    <row r="168" spans="1:29" s="134" customFormat="1" ht="25.35" customHeight="1" x14ac:dyDescent="0.7">
      <c r="A168" s="137" t="s">
        <v>275</v>
      </c>
      <c r="B168" s="130">
        <f t="shared" ref="B168:AC168" si="67">SUM(B162:B165)</f>
        <v>10711.131874452674</v>
      </c>
      <c r="C168" s="130">
        <f t="shared" si="67"/>
        <v>10464.294250903908</v>
      </c>
      <c r="D168" s="130">
        <f t="shared" si="67"/>
        <v>10228.776569326805</v>
      </c>
      <c r="E168" s="130">
        <f t="shared" si="67"/>
        <v>10028.313745889835</v>
      </c>
      <c r="F168" s="130">
        <f t="shared" si="67"/>
        <v>9835.7025875079235</v>
      </c>
      <c r="G168" s="130">
        <f t="shared" si="67"/>
        <v>9650.4906572991495</v>
      </c>
      <c r="H168" s="130">
        <f t="shared" si="67"/>
        <v>9472.2596243420594</v>
      </c>
      <c r="I168" s="130">
        <f t="shared" si="67"/>
        <v>9300.6221093671957</v>
      </c>
      <c r="J168" s="130">
        <f t="shared" si="67"/>
        <v>9145.3803655316224</v>
      </c>
      <c r="K168" s="130">
        <f t="shared" si="67"/>
        <v>8995.3422555676334</v>
      </c>
      <c r="L168" s="130">
        <f t="shared" si="67"/>
        <v>8850.2504569211378</v>
      </c>
      <c r="M168" s="130">
        <f t="shared" si="67"/>
        <v>8709.8643382307437</v>
      </c>
      <c r="N168" s="130">
        <f t="shared" si="67"/>
        <v>8573.9586275836591</v>
      </c>
      <c r="O168" s="130">
        <f t="shared" si="67"/>
        <v>8504.9876982512633</v>
      </c>
      <c r="P168" s="130">
        <f t="shared" si="67"/>
        <v>8437.1427070703776</v>
      </c>
      <c r="Q168" s="130">
        <f t="shared" si="67"/>
        <v>8370.3963061556533</v>
      </c>
      <c r="R168" s="130">
        <f t="shared" si="67"/>
        <v>8304.7220261781949</v>
      </c>
      <c r="S168" s="130">
        <f t="shared" si="67"/>
        <v>8240.0942413668745</v>
      </c>
      <c r="T168" s="130">
        <f t="shared" si="67"/>
        <v>8173.2533786066433</v>
      </c>
      <c r="U168" s="130">
        <f t="shared" si="67"/>
        <v>8107.5137717729485</v>
      </c>
      <c r="V168" s="130">
        <f t="shared" si="67"/>
        <v>8042.8484271473717</v>
      </c>
      <c r="W168" s="130">
        <f t="shared" si="67"/>
        <v>7979.2312260796753</v>
      </c>
      <c r="X168" s="130">
        <f t="shared" si="67"/>
        <v>7916.6368898134551</v>
      </c>
      <c r="Y168" s="130">
        <f t="shared" si="67"/>
        <v>7856.5315947255185</v>
      </c>
      <c r="Z168" s="130">
        <f t="shared" si="67"/>
        <v>7797.3545667431863</v>
      </c>
      <c r="AA168" s="130">
        <f t="shared" si="67"/>
        <v>7739.0844663927683</v>
      </c>
      <c r="AB168" s="130">
        <f t="shared" si="67"/>
        <v>7681.7006033100361</v>
      </c>
      <c r="AC168" s="130">
        <f t="shared" si="67"/>
        <v>7625.1829117455354</v>
      </c>
    </row>
    <row r="169" spans="1:29" s="134" customFormat="1" ht="25.35" customHeight="1" x14ac:dyDescent="0.7">
      <c r="A169" s="138" t="s">
        <v>61</v>
      </c>
      <c r="B169" s="131">
        <f>SUM(B166:B168)</f>
        <v>10734.593314747983</v>
      </c>
      <c r="C169" s="131">
        <f t="shared" ref="C169:AC169" si="68">SUM(C166:C168)</f>
        <v>10485.539060482131</v>
      </c>
      <c r="D169" s="131">
        <f t="shared" si="68"/>
        <v>10247.886742404757</v>
      </c>
      <c r="E169" s="131">
        <f t="shared" si="68"/>
        <v>10045.460661125171</v>
      </c>
      <c r="F169" s="131">
        <f t="shared" si="68"/>
        <v>9850.9518402740923</v>
      </c>
      <c r="G169" s="131">
        <f t="shared" si="68"/>
        <v>9663.9078429696019</v>
      </c>
      <c r="H169" s="131">
        <f t="shared" si="68"/>
        <v>9483.9103382902467</v>
      </c>
      <c r="I169" s="131">
        <f t="shared" si="68"/>
        <v>9310.5719469665655</v>
      </c>
      <c r="J169" s="131">
        <f t="shared" si="68"/>
        <v>9153.727180377251</v>
      </c>
      <c r="K169" s="131">
        <f t="shared" si="68"/>
        <v>9002.1407104707287</v>
      </c>
      <c r="L169" s="131">
        <f t="shared" si="68"/>
        <v>8856.0818902216361</v>
      </c>
      <c r="M169" s="131">
        <f t="shared" si="68"/>
        <v>8714.762239854279</v>
      </c>
      <c r="N169" s="131">
        <f t="shared" si="68"/>
        <v>8577.95648745586</v>
      </c>
      <c r="O169" s="131">
        <f t="shared" si="68"/>
        <v>8508.1625432010824</v>
      </c>
      <c r="P169" s="131">
        <f t="shared" si="68"/>
        <v>8439.506258571786</v>
      </c>
      <c r="Q169" s="131">
        <f t="shared" si="68"/>
        <v>8371.9602856826205</v>
      </c>
      <c r="R169" s="131">
        <f t="shared" si="68"/>
        <v>8305.4981552046938</v>
      </c>
      <c r="S169" s="131">
        <f t="shared" si="68"/>
        <v>8240.0942413668745</v>
      </c>
      <c r="T169" s="131">
        <f t="shared" si="68"/>
        <v>8173.2533786066433</v>
      </c>
      <c r="U169" s="131">
        <f t="shared" si="68"/>
        <v>8107.5137717729485</v>
      </c>
      <c r="V169" s="131">
        <f t="shared" si="68"/>
        <v>8042.8484271473717</v>
      </c>
      <c r="W169" s="131">
        <f t="shared" si="68"/>
        <v>7979.2312260796753</v>
      </c>
      <c r="X169" s="131">
        <f t="shared" si="68"/>
        <v>7916.6368898134551</v>
      </c>
      <c r="Y169" s="131">
        <f t="shared" si="68"/>
        <v>7856.5315947255185</v>
      </c>
      <c r="Z169" s="131">
        <f t="shared" si="68"/>
        <v>7797.3545667431863</v>
      </c>
      <c r="AA169" s="131">
        <f t="shared" si="68"/>
        <v>7739.0844663927683</v>
      </c>
      <c r="AB169" s="131">
        <f t="shared" si="68"/>
        <v>7681.7006033100361</v>
      </c>
      <c r="AC169" s="131">
        <f t="shared" si="68"/>
        <v>7625.1829117455354</v>
      </c>
    </row>
    <row r="171" spans="1:29" s="234" customFormat="1" ht="30" customHeight="1" x14ac:dyDescent="0.7">
      <c r="A171" s="253" t="s">
        <v>66</v>
      </c>
      <c r="B171" s="254"/>
      <c r="C171" s="254"/>
      <c r="D171" s="254"/>
      <c r="E171" s="255"/>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1"/>
    </row>
    <row r="172" spans="1:29" s="236" customFormat="1" ht="24" customHeight="1" x14ac:dyDescent="0.9">
      <c r="A172" s="370" t="s">
        <v>538</v>
      </c>
      <c r="B172" s="364"/>
      <c r="C172" s="364"/>
      <c r="D172" s="364"/>
      <c r="E172" s="365"/>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1"/>
    </row>
    <row r="173" spans="1:29" s="134" customFormat="1" ht="24" customHeight="1" x14ac:dyDescent="0.7">
      <c r="A173" s="261" t="s">
        <v>539</v>
      </c>
      <c r="B173" s="262"/>
      <c r="C173" s="262"/>
      <c r="D173" s="262"/>
      <c r="E173" s="263"/>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1"/>
    </row>
    <row r="174" spans="1:29" s="134" customFormat="1" x14ac:dyDescent="0.7">
      <c r="A174" s="56" t="s">
        <v>3</v>
      </c>
      <c r="B174" s="84" t="s">
        <v>540</v>
      </c>
      <c r="C174" s="84" t="s">
        <v>541</v>
      </c>
      <c r="D174" s="84" t="s">
        <v>542</v>
      </c>
      <c r="E174" s="84" t="s">
        <v>549</v>
      </c>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1"/>
    </row>
    <row r="175" spans="1:29" s="134" customFormat="1" x14ac:dyDescent="0.7">
      <c r="A175" s="34" t="s">
        <v>543</v>
      </c>
      <c r="B175" s="91">
        <v>1</v>
      </c>
      <c r="C175" s="91">
        <v>0</v>
      </c>
      <c r="D175" s="91">
        <v>2.6800000000000001E-2</v>
      </c>
      <c r="E175" s="441" t="s">
        <v>205</v>
      </c>
      <c r="F175" s="61"/>
      <c r="G175" s="61"/>
      <c r="H175" s="61"/>
      <c r="I175" s="61"/>
      <c r="J175" s="61"/>
      <c r="K175" s="61"/>
      <c r="L175" s="61"/>
      <c r="M175" s="61"/>
      <c r="N175" s="61"/>
      <c r="O175" s="61"/>
      <c r="P175" s="61"/>
      <c r="Q175" s="61"/>
      <c r="R175" s="61"/>
      <c r="S175" s="61"/>
      <c r="T175" s="61"/>
      <c r="U175" s="61"/>
      <c r="V175" s="61"/>
      <c r="W175" s="61"/>
      <c r="X175" s="61"/>
      <c r="Y175" s="61"/>
      <c r="Z175" s="61"/>
      <c r="AA175" s="61"/>
      <c r="AB175" s="61"/>
      <c r="AC175" s="61"/>
    </row>
    <row r="176" spans="1:29" s="134" customFormat="1" x14ac:dyDescent="0.7">
      <c r="A176" s="34" t="s">
        <v>544</v>
      </c>
      <c r="B176" s="91">
        <v>0.98083934764247482</v>
      </c>
      <c r="C176" s="91">
        <v>1.9160652357525176E-2</v>
      </c>
      <c r="D176" s="91">
        <v>2.6974830822400556E-2</v>
      </c>
      <c r="E176" s="441"/>
      <c r="F176" s="61"/>
      <c r="G176" s="61"/>
      <c r="H176" s="61"/>
      <c r="I176" s="61"/>
      <c r="J176" s="61"/>
      <c r="K176" s="61"/>
      <c r="L176" s="61"/>
      <c r="M176" s="61"/>
      <c r="N176" s="61"/>
      <c r="O176" s="61"/>
      <c r="P176" s="61"/>
      <c r="Q176" s="61"/>
      <c r="R176" s="61"/>
      <c r="S176" s="61"/>
      <c r="T176" s="61"/>
      <c r="U176" s="61"/>
      <c r="V176" s="61"/>
      <c r="W176" s="61"/>
      <c r="X176" s="61"/>
      <c r="Y176" s="61"/>
      <c r="Z176" s="61"/>
      <c r="AA176" s="61"/>
      <c r="AB176" s="61"/>
      <c r="AC176" s="61"/>
    </row>
    <row r="177" spans="1:29" s="134" customFormat="1" x14ac:dyDescent="0.7">
      <c r="A177" s="34" t="s">
        <v>545</v>
      </c>
      <c r="B177" s="91">
        <v>0.93762176018751364</v>
      </c>
      <c r="C177" s="91">
        <v>6.2378239812486358E-2</v>
      </c>
      <c r="D177" s="91">
        <v>2.7369168458506735E-2</v>
      </c>
      <c r="E177" s="441"/>
      <c r="F177" s="61"/>
      <c r="G177" s="61"/>
      <c r="H177" s="61"/>
      <c r="I177" s="61"/>
      <c r="J177" s="61"/>
      <c r="K177" s="61"/>
      <c r="L177" s="61"/>
      <c r="M177" s="61"/>
      <c r="N177" s="61"/>
      <c r="O177" s="61"/>
      <c r="P177" s="61"/>
      <c r="Q177" s="61"/>
      <c r="R177" s="61"/>
      <c r="S177" s="61"/>
      <c r="T177" s="61"/>
      <c r="U177" s="61"/>
      <c r="V177" s="61"/>
      <c r="W177" s="61"/>
      <c r="X177" s="61"/>
      <c r="Y177" s="61"/>
      <c r="Z177" s="61"/>
      <c r="AA177" s="61"/>
      <c r="AB177" s="61"/>
      <c r="AC177" s="61"/>
    </row>
    <row r="178" spans="1:29" s="134" customFormat="1" x14ac:dyDescent="0.7">
      <c r="A178" s="34" t="s">
        <v>546</v>
      </c>
      <c r="B178" s="91">
        <v>0</v>
      </c>
      <c r="C178" s="91">
        <v>1</v>
      </c>
      <c r="D178" s="91">
        <v>3.5924471293478283E-2</v>
      </c>
      <c r="E178" s="441"/>
      <c r="F178" s="61"/>
      <c r="G178" s="61"/>
      <c r="H178" s="61"/>
      <c r="I178" s="61"/>
      <c r="J178" s="61"/>
      <c r="K178" s="61"/>
      <c r="L178" s="61"/>
      <c r="M178" s="61"/>
      <c r="N178" s="61"/>
      <c r="O178" s="61"/>
      <c r="P178" s="61"/>
      <c r="Q178" s="61"/>
      <c r="R178" s="61"/>
      <c r="S178" s="61"/>
      <c r="T178" s="61"/>
      <c r="U178" s="61"/>
      <c r="V178" s="61"/>
      <c r="W178" s="61"/>
      <c r="X178" s="61"/>
      <c r="Y178" s="61"/>
      <c r="Z178" s="61"/>
      <c r="AA178" s="61"/>
      <c r="AB178" s="61"/>
      <c r="AC178" s="61"/>
    </row>
    <row r="179" spans="1:29" s="134" customFormat="1" x14ac:dyDescent="0.7">
      <c r="A179" s="34" t="s">
        <v>547</v>
      </c>
      <c r="B179" s="91">
        <v>0.94825223965775762</v>
      </c>
      <c r="C179" s="91">
        <v>5.1747760342242377E-2</v>
      </c>
      <c r="D179" s="91">
        <v>2.7272170953744589E-2</v>
      </c>
      <c r="E179" s="441"/>
      <c r="F179" s="61"/>
      <c r="G179" s="61"/>
      <c r="H179" s="61"/>
      <c r="I179" s="61"/>
      <c r="J179" s="61"/>
      <c r="K179" s="61"/>
      <c r="L179" s="61"/>
      <c r="M179" s="61"/>
      <c r="N179" s="61"/>
      <c r="O179" s="61"/>
      <c r="P179" s="61"/>
      <c r="Q179" s="61"/>
      <c r="R179" s="61"/>
      <c r="S179" s="61"/>
      <c r="T179" s="61"/>
      <c r="U179" s="61"/>
      <c r="V179" s="61"/>
      <c r="W179" s="61"/>
      <c r="X179" s="61"/>
      <c r="Y179" s="61"/>
      <c r="Z179" s="61"/>
      <c r="AA179" s="61"/>
      <c r="AB179" s="61"/>
      <c r="AC179" s="61"/>
    </row>
    <row r="180" spans="1:29" s="134" customFormat="1" x14ac:dyDescent="0.7">
      <c r="A180" s="272" t="s">
        <v>548</v>
      </c>
      <c r="B180" s="273">
        <v>0.94017288790749876</v>
      </c>
      <c r="C180" s="273">
        <v>5.9827112092501245E-2</v>
      </c>
      <c r="D180" s="273">
        <v>2.7345890766859737E-2</v>
      </c>
      <c r="E180" s="44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row>
    <row r="181" spans="1:29" s="236" customFormat="1" ht="24" customHeight="1" x14ac:dyDescent="0.9">
      <c r="A181" s="139" t="s">
        <v>96</v>
      </c>
      <c r="B181" s="140"/>
      <c r="C181" s="140"/>
      <c r="D181" s="140"/>
      <c r="E181" s="14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row>
    <row r="182" spans="1:29" s="134" customFormat="1" ht="24" customHeight="1" x14ac:dyDescent="0.7">
      <c r="A182" s="261" t="s">
        <v>211</v>
      </c>
      <c r="B182" s="262"/>
      <c r="C182" s="262"/>
      <c r="D182" s="262"/>
      <c r="E182" s="263"/>
      <c r="F182" s="61"/>
      <c r="G182" s="61"/>
      <c r="H182" s="61"/>
      <c r="I182" s="61"/>
      <c r="J182" s="61"/>
      <c r="K182" s="61"/>
      <c r="L182" s="61"/>
      <c r="M182" s="61"/>
      <c r="N182" s="61"/>
      <c r="O182" s="61"/>
      <c r="P182" s="61"/>
      <c r="Q182" s="61"/>
      <c r="R182" s="61"/>
      <c r="S182" s="61"/>
      <c r="T182" s="61"/>
      <c r="U182" s="61"/>
      <c r="V182" s="61"/>
      <c r="W182" s="61"/>
      <c r="X182" s="61"/>
      <c r="Y182" s="61"/>
      <c r="Z182" s="61"/>
      <c r="AA182" s="61"/>
      <c r="AB182" s="61"/>
      <c r="AC182" s="61"/>
    </row>
    <row r="183" spans="1:29" s="134" customFormat="1" x14ac:dyDescent="0.7">
      <c r="A183" s="56" t="s">
        <v>201</v>
      </c>
      <c r="B183" s="84" t="s">
        <v>44</v>
      </c>
      <c r="C183" s="84" t="s">
        <v>55</v>
      </c>
      <c r="D183" s="84" t="s">
        <v>54</v>
      </c>
      <c r="E183" s="84" t="s">
        <v>25</v>
      </c>
      <c r="F183" s="61"/>
      <c r="G183" s="36"/>
      <c r="H183" s="36"/>
      <c r="I183" s="36"/>
      <c r="J183" s="36"/>
      <c r="K183" s="36"/>
      <c r="L183" s="36"/>
      <c r="M183" s="36"/>
      <c r="N183" s="36"/>
      <c r="O183" s="36"/>
      <c r="P183" s="36"/>
      <c r="Q183" s="36"/>
      <c r="R183" s="36"/>
      <c r="S183" s="36"/>
      <c r="T183" s="36"/>
      <c r="U183" s="36"/>
      <c r="V183" s="36"/>
      <c r="W183" s="36"/>
      <c r="X183" s="36"/>
      <c r="Y183" s="36"/>
      <c r="Z183" s="36"/>
      <c r="AA183" s="36"/>
      <c r="AB183" s="61"/>
      <c r="AC183" s="61"/>
    </row>
    <row r="184" spans="1:29" s="134" customFormat="1" x14ac:dyDescent="0.7">
      <c r="A184" s="34" t="s">
        <v>204</v>
      </c>
      <c r="B184" s="58">
        <v>2238532830.3476901</v>
      </c>
      <c r="C184" s="58">
        <v>252317337.54322731</v>
      </c>
      <c r="D184" s="58">
        <v>92447397.548571646</v>
      </c>
      <c r="E184" s="443" t="s">
        <v>205</v>
      </c>
      <c r="F184" s="61"/>
      <c r="G184" s="36"/>
      <c r="H184" s="36"/>
      <c r="I184" s="36"/>
      <c r="J184" s="36"/>
      <c r="K184" s="36"/>
      <c r="L184" s="36"/>
      <c r="M184" s="36"/>
      <c r="N184" s="36"/>
      <c r="O184" s="36"/>
      <c r="P184" s="36"/>
      <c r="Q184" s="36"/>
      <c r="R184" s="36"/>
      <c r="S184" s="36"/>
      <c r="T184" s="36"/>
      <c r="U184" s="264"/>
      <c r="V184" s="264"/>
      <c r="W184" s="264"/>
      <c r="X184" s="264"/>
      <c r="Y184" s="264"/>
      <c r="Z184" s="264"/>
      <c r="AA184" s="264"/>
      <c r="AB184" s="61"/>
      <c r="AC184" s="61"/>
    </row>
    <row r="185" spans="1:29" s="134" customFormat="1" x14ac:dyDescent="0.7">
      <c r="A185" s="34" t="s">
        <v>246</v>
      </c>
      <c r="B185" s="58">
        <v>32323207.541355941</v>
      </c>
      <c r="C185" s="58">
        <v>3591467.5045951046</v>
      </c>
      <c r="D185" s="58">
        <v>0</v>
      </c>
      <c r="E185" s="444"/>
      <c r="F185" s="61"/>
      <c r="G185" s="36"/>
      <c r="H185" s="36"/>
      <c r="I185" s="36"/>
      <c r="J185" s="36"/>
      <c r="K185" s="36"/>
      <c r="L185" s="36"/>
      <c r="M185" s="36"/>
      <c r="N185" s="36"/>
      <c r="O185" s="36"/>
      <c r="P185" s="36"/>
      <c r="Q185" s="36"/>
      <c r="R185" s="36"/>
      <c r="S185" s="36"/>
      <c r="T185" s="36"/>
      <c r="U185" s="264"/>
      <c r="V185" s="264"/>
      <c r="W185" s="264"/>
      <c r="X185" s="264"/>
      <c r="Y185" s="264"/>
      <c r="Z185" s="264"/>
      <c r="AA185" s="264"/>
      <c r="AB185" s="61"/>
      <c r="AC185" s="61"/>
    </row>
    <row r="186" spans="1:29" s="134" customFormat="1" x14ac:dyDescent="0.7">
      <c r="A186" s="34" t="s">
        <v>263</v>
      </c>
      <c r="B186" s="186">
        <f>20853779*$B$212*0.9</f>
        <v>8201791.2807000009</v>
      </c>
      <c r="C186" s="186">
        <f>20853779*$B$212*0.1</f>
        <v>911310.14230000007</v>
      </c>
      <c r="D186" s="58">
        <v>0</v>
      </c>
      <c r="E186" s="444"/>
      <c r="F186" s="61"/>
      <c r="G186" s="36"/>
      <c r="H186" s="36"/>
      <c r="I186" s="36"/>
      <c r="J186" s="36"/>
      <c r="K186" s="36"/>
      <c r="L186" s="36"/>
      <c r="M186" s="36"/>
      <c r="N186" s="36"/>
      <c r="O186" s="36"/>
      <c r="P186" s="36"/>
      <c r="Q186" s="36"/>
      <c r="R186" s="36"/>
      <c r="S186" s="36"/>
      <c r="T186" s="36"/>
      <c r="U186" s="264"/>
      <c r="V186" s="264"/>
      <c r="W186" s="264"/>
      <c r="X186" s="264"/>
      <c r="Y186" s="264"/>
      <c r="Z186" s="264"/>
      <c r="AA186" s="264"/>
      <c r="AB186" s="61"/>
      <c r="AC186" s="61"/>
    </row>
    <row r="187" spans="1:29" s="134" customFormat="1" x14ac:dyDescent="0.7">
      <c r="A187" s="34" t="s">
        <v>202</v>
      </c>
      <c r="B187" s="58">
        <v>735938649.87827265</v>
      </c>
      <c r="C187" s="58">
        <v>82951689.702760205</v>
      </c>
      <c r="D187" s="58">
        <v>30392948.45905317</v>
      </c>
      <c r="E187" s="444"/>
      <c r="F187" s="61"/>
      <c r="G187" s="36"/>
      <c r="H187" s="36"/>
      <c r="I187" s="36"/>
      <c r="J187" s="36"/>
      <c r="K187" s="36"/>
      <c r="L187" s="36"/>
      <c r="M187" s="36"/>
      <c r="N187" s="36"/>
      <c r="O187" s="36"/>
      <c r="P187" s="36"/>
      <c r="Q187" s="36"/>
      <c r="R187" s="36"/>
      <c r="S187" s="36"/>
      <c r="T187" s="36"/>
      <c r="U187" s="264"/>
      <c r="V187" s="264"/>
      <c r="W187" s="264"/>
      <c r="X187" s="264"/>
      <c r="Y187" s="264"/>
      <c r="Z187" s="264"/>
      <c r="AA187" s="264"/>
      <c r="AB187" s="61"/>
      <c r="AC187" s="61"/>
    </row>
    <row r="188" spans="1:29" s="134" customFormat="1" x14ac:dyDescent="0.7">
      <c r="A188" s="34" t="s">
        <v>247</v>
      </c>
      <c r="B188" s="58">
        <v>10626557.446569122</v>
      </c>
      <c r="C188" s="199">
        <v>1975045.737562716</v>
      </c>
      <c r="D188" s="58">
        <v>0</v>
      </c>
      <c r="E188" s="444"/>
      <c r="F188" s="61"/>
      <c r="G188" s="36"/>
      <c r="H188" s="36"/>
      <c r="I188" s="36"/>
      <c r="J188" s="36"/>
      <c r="K188" s="36"/>
      <c r="L188" s="36"/>
      <c r="M188" s="36"/>
      <c r="N188" s="36"/>
      <c r="O188" s="36"/>
      <c r="P188" s="36"/>
      <c r="Q188" s="36"/>
      <c r="R188" s="36"/>
      <c r="S188" s="36"/>
      <c r="T188" s="36"/>
      <c r="U188" s="264"/>
      <c r="V188" s="264"/>
      <c r="W188" s="264"/>
      <c r="X188" s="264"/>
      <c r="Y188" s="264"/>
      <c r="Z188" s="264"/>
      <c r="AA188" s="264"/>
      <c r="AB188" s="61"/>
      <c r="AC188" s="61"/>
    </row>
    <row r="189" spans="1:29" s="134" customFormat="1" x14ac:dyDescent="0.7">
      <c r="A189" s="34" t="s">
        <v>245</v>
      </c>
      <c r="B189" s="58">
        <v>185979359.5312942</v>
      </c>
      <c r="C189" s="58">
        <v>20664373.281254914</v>
      </c>
      <c r="D189" s="58">
        <v>206643732.81254911</v>
      </c>
      <c r="E189" s="444"/>
      <c r="F189" s="61"/>
      <c r="G189" s="36"/>
      <c r="H189" s="36"/>
      <c r="I189" s="36"/>
      <c r="J189" s="36"/>
      <c r="K189" s="36"/>
      <c r="L189" s="36"/>
      <c r="M189" s="36"/>
      <c r="N189" s="36"/>
      <c r="O189" s="36"/>
      <c r="P189" s="36"/>
      <c r="Q189" s="36"/>
      <c r="R189" s="36"/>
      <c r="S189" s="36"/>
      <c r="T189" s="36"/>
      <c r="U189" s="264"/>
      <c r="V189" s="264"/>
      <c r="W189" s="264"/>
      <c r="X189" s="264"/>
      <c r="Y189" s="264"/>
      <c r="Z189" s="264"/>
      <c r="AA189" s="264"/>
      <c r="AB189" s="61"/>
      <c r="AC189" s="61"/>
    </row>
    <row r="190" spans="1:29" s="134" customFormat="1" x14ac:dyDescent="0.7">
      <c r="A190" s="127" t="s">
        <v>203</v>
      </c>
      <c r="B190" s="129">
        <v>22188428.080741368</v>
      </c>
      <c r="C190" s="129">
        <v>2465380.8978601522</v>
      </c>
      <c r="D190" s="129">
        <v>0</v>
      </c>
      <c r="E190" s="444"/>
      <c r="F190" s="61"/>
      <c r="G190" s="36"/>
      <c r="H190" s="36"/>
      <c r="I190" s="36"/>
      <c r="J190" s="36"/>
      <c r="K190" s="36"/>
      <c r="L190" s="36"/>
      <c r="M190" s="36"/>
      <c r="N190" s="36"/>
      <c r="O190" s="36"/>
      <c r="P190" s="36"/>
      <c r="Q190" s="36"/>
      <c r="R190" s="36"/>
      <c r="S190" s="36"/>
      <c r="T190" s="36"/>
      <c r="U190" s="264"/>
      <c r="V190" s="264"/>
      <c r="W190" s="264"/>
      <c r="X190" s="264"/>
      <c r="Y190" s="264"/>
      <c r="Z190" s="264"/>
      <c r="AA190" s="264"/>
      <c r="AB190" s="61"/>
      <c r="AC190" s="61"/>
    </row>
    <row r="191" spans="1:29" s="134" customFormat="1" ht="24" customHeight="1" x14ac:dyDescent="0.7">
      <c r="A191" s="261" t="s">
        <v>212</v>
      </c>
      <c r="B191" s="262"/>
      <c r="C191" s="262"/>
      <c r="D191" s="262"/>
      <c r="E191" s="263"/>
    </row>
    <row r="192" spans="1:29" s="134" customFormat="1" x14ac:dyDescent="0.7">
      <c r="A192" s="56" t="s">
        <v>201</v>
      </c>
      <c r="B192" s="84" t="s">
        <v>44</v>
      </c>
      <c r="C192" s="84" t="s">
        <v>55</v>
      </c>
      <c r="D192" s="84" t="s">
        <v>54</v>
      </c>
      <c r="E192" s="84" t="s">
        <v>25</v>
      </c>
      <c r="F192" s="36"/>
      <c r="G192" s="36"/>
      <c r="H192" s="36"/>
      <c r="I192" s="36"/>
      <c r="J192" s="36"/>
      <c r="K192" s="36"/>
      <c r="L192" s="36"/>
      <c r="M192" s="36"/>
      <c r="N192" s="36"/>
      <c r="O192" s="36"/>
      <c r="P192" s="36"/>
      <c r="Q192" s="36"/>
      <c r="R192" s="36"/>
      <c r="S192" s="36"/>
      <c r="T192" s="36"/>
      <c r="U192" s="36"/>
      <c r="V192" s="36"/>
      <c r="W192" s="36"/>
      <c r="X192" s="36"/>
      <c r="Y192" s="36"/>
      <c r="Z192" s="36"/>
      <c r="AA192" s="36"/>
      <c r="AB192" s="61"/>
      <c r="AC192" s="61"/>
    </row>
    <row r="193" spans="1:29" s="134" customFormat="1" ht="23.25" customHeight="1" x14ac:dyDescent="0.7">
      <c r="A193" s="34" t="s">
        <v>204</v>
      </c>
      <c r="B193" s="91">
        <f>B184/SUM($B$184:$D$190)</f>
        <v>0.56986926953784178</v>
      </c>
      <c r="C193" s="91">
        <f>C184/SUM($B$184:$D$190)</f>
        <v>6.42330971822999E-2</v>
      </c>
      <c r="D193" s="91">
        <f>D184/SUM($B$184:$D$190)</f>
        <v>2.3534580416895764E-2</v>
      </c>
      <c r="E193" s="443" t="s">
        <v>659</v>
      </c>
      <c r="F193" s="36"/>
      <c r="G193" s="36"/>
      <c r="H193" s="36"/>
      <c r="I193" s="36"/>
      <c r="J193" s="36"/>
      <c r="K193" s="36"/>
      <c r="L193" s="36"/>
      <c r="M193" s="36"/>
      <c r="N193" s="36"/>
      <c r="O193" s="36"/>
      <c r="P193" s="36"/>
      <c r="Q193" s="36"/>
      <c r="R193" s="36"/>
      <c r="S193" s="36"/>
      <c r="T193" s="36"/>
      <c r="U193" s="264"/>
      <c r="V193" s="264"/>
      <c r="W193" s="264"/>
      <c r="X193" s="264"/>
      <c r="Y193" s="264"/>
      <c r="Z193" s="264"/>
      <c r="AA193" s="264"/>
      <c r="AB193" s="61"/>
      <c r="AC193" s="61"/>
    </row>
    <row r="194" spans="1:29" s="134" customFormat="1" x14ac:dyDescent="0.7">
      <c r="A194" s="34" t="s">
        <v>246</v>
      </c>
      <c r="B194" s="91">
        <f t="shared" ref="B194:B199" si="69">B185/SUM($B$184:$D$190)</f>
        <v>8.2286051028572869E-3</v>
      </c>
      <c r="C194" s="91">
        <f t="shared" ref="C194:D199" si="70">C185/SUM($B$184:$D$190)</f>
        <v>9.1428945587303202E-4</v>
      </c>
      <c r="D194" s="91">
        <f t="shared" si="70"/>
        <v>0</v>
      </c>
      <c r="E194" s="444"/>
      <c r="F194" s="36"/>
      <c r="G194" s="36"/>
      <c r="H194" s="36"/>
      <c r="I194" s="36"/>
      <c r="J194" s="36"/>
      <c r="K194" s="36"/>
      <c r="L194" s="36"/>
      <c r="M194" s="36"/>
      <c r="N194" s="36"/>
      <c r="O194" s="36"/>
      <c r="P194" s="36"/>
      <c r="Q194" s="36"/>
      <c r="R194" s="36"/>
      <c r="S194" s="36"/>
      <c r="T194" s="36"/>
      <c r="U194" s="264"/>
      <c r="V194" s="264"/>
      <c r="W194" s="264"/>
      <c r="X194" s="264"/>
      <c r="Y194" s="264"/>
      <c r="Z194" s="264"/>
      <c r="AA194" s="264"/>
      <c r="AB194" s="61"/>
      <c r="AC194" s="61"/>
    </row>
    <row r="195" spans="1:29" s="134" customFormat="1" x14ac:dyDescent="0.7">
      <c r="A195" s="34" t="s">
        <v>263</v>
      </c>
      <c r="B195" s="91">
        <f t="shared" si="69"/>
        <v>2.0879518685943906E-3</v>
      </c>
      <c r="C195" s="91">
        <f t="shared" si="70"/>
        <v>2.319946520660434E-4</v>
      </c>
      <c r="D195" s="91">
        <f>D186/SUM($B$184:$D$190)</f>
        <v>0</v>
      </c>
      <c r="E195" s="444"/>
      <c r="F195" s="36"/>
      <c r="G195" s="36"/>
      <c r="H195" s="36"/>
      <c r="I195" s="36"/>
      <c r="J195" s="36"/>
      <c r="K195" s="36"/>
      <c r="L195" s="36"/>
      <c r="M195" s="36"/>
      <c r="N195" s="36"/>
      <c r="O195" s="36"/>
      <c r="P195" s="36"/>
      <c r="Q195" s="36"/>
      <c r="R195" s="36"/>
      <c r="S195" s="36"/>
      <c r="T195" s="36"/>
      <c r="U195" s="264"/>
      <c r="V195" s="264"/>
      <c r="W195" s="264"/>
      <c r="X195" s="264"/>
      <c r="Y195" s="264"/>
      <c r="Z195" s="264"/>
      <c r="AA195" s="264"/>
      <c r="AB195" s="61"/>
      <c r="AC195" s="61"/>
    </row>
    <row r="196" spans="1:29" s="134" customFormat="1" x14ac:dyDescent="0.7">
      <c r="A196" s="34" t="s">
        <v>202</v>
      </c>
      <c r="B196" s="91">
        <f t="shared" si="69"/>
        <v>0.18734986377915086</v>
      </c>
      <c r="C196" s="91">
        <f t="shared" si="70"/>
        <v>2.1117232759324516E-2</v>
      </c>
      <c r="D196" s="91">
        <f t="shared" si="70"/>
        <v>7.7372139030776471E-3</v>
      </c>
      <c r="E196" s="444"/>
      <c r="F196" s="36"/>
      <c r="G196" s="36"/>
      <c r="H196" s="36"/>
      <c r="I196" s="36"/>
      <c r="J196" s="36"/>
      <c r="K196" s="36"/>
      <c r="L196" s="36"/>
      <c r="M196" s="36"/>
      <c r="N196" s="36"/>
      <c r="O196" s="36"/>
      <c r="P196" s="36"/>
      <c r="Q196" s="36"/>
      <c r="R196" s="36"/>
      <c r="S196" s="36"/>
      <c r="T196" s="36"/>
      <c r="U196" s="264"/>
      <c r="V196" s="264"/>
      <c r="W196" s="264"/>
      <c r="X196" s="264"/>
      <c r="Y196" s="264"/>
      <c r="Z196" s="264"/>
      <c r="AA196" s="264"/>
      <c r="AB196" s="61"/>
      <c r="AC196" s="61"/>
    </row>
    <row r="197" spans="1:29" s="134" customFormat="1" x14ac:dyDescent="0.7">
      <c r="A197" s="34" t="s">
        <v>247</v>
      </c>
      <c r="B197" s="91">
        <f t="shared" si="69"/>
        <v>2.7052310547697783E-3</v>
      </c>
      <c r="C197" s="91">
        <f t="shared" si="70"/>
        <v>5.0279265799013412E-4</v>
      </c>
      <c r="D197" s="91">
        <f t="shared" si="70"/>
        <v>0</v>
      </c>
      <c r="E197" s="444"/>
      <c r="F197" s="36"/>
      <c r="G197" s="36"/>
      <c r="H197" s="36"/>
      <c r="I197" s="36"/>
      <c r="J197" s="36"/>
      <c r="K197" s="36"/>
      <c r="L197" s="36"/>
      <c r="M197" s="36"/>
      <c r="N197" s="36"/>
      <c r="O197" s="36"/>
      <c r="P197" s="36"/>
      <c r="Q197" s="36"/>
      <c r="R197" s="36"/>
      <c r="S197" s="36"/>
      <c r="T197" s="36"/>
      <c r="U197" s="264"/>
      <c r="V197" s="264"/>
      <c r="W197" s="264"/>
      <c r="X197" s="264"/>
      <c r="Y197" s="264"/>
      <c r="Z197" s="264"/>
      <c r="AA197" s="264"/>
      <c r="AB197" s="61"/>
      <c r="AC197" s="61"/>
    </row>
    <row r="198" spans="1:29" s="134" customFormat="1" x14ac:dyDescent="0.7">
      <c r="A198" s="34" t="s">
        <v>245</v>
      </c>
      <c r="B198" s="91">
        <f t="shared" si="69"/>
        <v>4.7345261292751649E-2</v>
      </c>
      <c r="C198" s="91">
        <f t="shared" si="70"/>
        <v>5.2605845880835172E-3</v>
      </c>
      <c r="D198" s="91">
        <f t="shared" si="70"/>
        <v>5.2605845880835167E-2</v>
      </c>
      <c r="E198" s="444"/>
      <c r="F198" s="36"/>
      <c r="G198" s="36"/>
      <c r="H198" s="36"/>
      <c r="I198" s="36"/>
      <c r="J198" s="36"/>
      <c r="K198" s="36"/>
      <c r="L198" s="36"/>
      <c r="M198" s="36"/>
      <c r="N198" s="36"/>
      <c r="O198" s="36"/>
      <c r="P198" s="36"/>
      <c r="Q198" s="36"/>
      <c r="R198" s="36"/>
      <c r="S198" s="36"/>
      <c r="T198" s="36"/>
      <c r="U198" s="264"/>
      <c r="V198" s="264"/>
      <c r="W198" s="264"/>
      <c r="X198" s="264"/>
      <c r="Y198" s="264"/>
      <c r="Z198" s="264"/>
      <c r="AA198" s="264"/>
      <c r="AB198" s="61"/>
      <c r="AC198" s="61"/>
    </row>
    <row r="199" spans="1:29" s="134" customFormat="1" x14ac:dyDescent="0.7">
      <c r="A199" s="127" t="s">
        <v>203</v>
      </c>
      <c r="B199" s="128">
        <f t="shared" si="69"/>
        <v>5.6485672808296809E-3</v>
      </c>
      <c r="C199" s="128">
        <f t="shared" si="70"/>
        <v>6.2761858675885345E-4</v>
      </c>
      <c r="D199" s="128">
        <f t="shared" si="70"/>
        <v>0</v>
      </c>
      <c r="E199" s="445"/>
      <c r="F199" s="36"/>
      <c r="G199" s="36"/>
      <c r="H199" s="36"/>
      <c r="I199" s="36"/>
      <c r="J199" s="36"/>
      <c r="K199" s="36"/>
      <c r="L199" s="36"/>
      <c r="M199" s="36"/>
      <c r="N199" s="36"/>
      <c r="O199" s="36"/>
      <c r="P199" s="36"/>
      <c r="Q199" s="36"/>
      <c r="R199" s="36"/>
      <c r="S199" s="36"/>
      <c r="T199" s="36"/>
      <c r="U199" s="264"/>
      <c r="V199" s="264"/>
      <c r="W199" s="264"/>
      <c r="X199" s="264"/>
      <c r="Y199" s="264"/>
      <c r="Z199" s="264"/>
      <c r="AA199" s="264"/>
      <c r="AB199" s="61"/>
      <c r="AC199" s="61"/>
    </row>
    <row r="200" spans="1:29" s="134" customFormat="1" ht="24" customHeight="1" x14ac:dyDescent="0.7">
      <c r="A200" s="261" t="s">
        <v>213</v>
      </c>
      <c r="B200" s="262"/>
      <c r="C200" s="262"/>
      <c r="D200" s="262"/>
      <c r="E200" s="360"/>
    </row>
    <row r="201" spans="1:29" s="134" customFormat="1" x14ac:dyDescent="0.7">
      <c r="A201" s="56" t="s">
        <v>201</v>
      </c>
      <c r="B201" s="84" t="s">
        <v>248</v>
      </c>
      <c r="C201" s="84" t="s">
        <v>249</v>
      </c>
      <c r="D201" s="442" t="s">
        <v>25</v>
      </c>
      <c r="E201" s="442"/>
      <c r="F201" s="36"/>
      <c r="G201" s="36"/>
      <c r="H201" s="36"/>
      <c r="I201" s="36"/>
      <c r="J201" s="36"/>
      <c r="K201" s="36"/>
      <c r="L201" s="36"/>
      <c r="M201" s="36"/>
      <c r="N201" s="36"/>
      <c r="O201" s="36"/>
      <c r="P201" s="36"/>
      <c r="Q201" s="36"/>
      <c r="R201" s="36"/>
      <c r="S201" s="36"/>
      <c r="T201" s="36"/>
      <c r="U201" s="36"/>
      <c r="V201" s="36"/>
      <c r="W201" s="36"/>
      <c r="X201" s="36"/>
      <c r="Y201" s="36"/>
      <c r="Z201" s="36"/>
      <c r="AA201" s="36"/>
      <c r="AB201" s="61"/>
      <c r="AC201" s="61"/>
    </row>
    <row r="202" spans="1:29" s="134" customFormat="1" x14ac:dyDescent="0.7">
      <c r="A202" s="127" t="s">
        <v>252</v>
      </c>
      <c r="B202" s="129">
        <v>49824437</v>
      </c>
      <c r="C202" s="129">
        <v>20853779</v>
      </c>
      <c r="D202" s="441" t="s">
        <v>205</v>
      </c>
      <c r="E202" s="441"/>
      <c r="F202" s="36"/>
      <c r="G202" s="36"/>
      <c r="H202" s="36"/>
      <c r="I202" s="36"/>
      <c r="J202" s="36"/>
      <c r="K202" s="36"/>
      <c r="L202" s="36"/>
      <c r="M202" s="36"/>
      <c r="N202" s="36"/>
      <c r="O202" s="36"/>
      <c r="P202" s="36"/>
      <c r="Q202" s="36"/>
      <c r="R202" s="36"/>
      <c r="S202" s="36"/>
      <c r="T202" s="36"/>
      <c r="U202" s="264"/>
      <c r="V202" s="264"/>
      <c r="W202" s="264"/>
      <c r="X202" s="264"/>
      <c r="Y202" s="264"/>
      <c r="Z202" s="264"/>
      <c r="AA202" s="264"/>
      <c r="AB202" s="61"/>
      <c r="AC202" s="61"/>
    </row>
    <row r="203" spans="1:29" s="134" customFormat="1" ht="24" customHeight="1" x14ac:dyDescent="0.85">
      <c r="A203" s="261" t="s">
        <v>214</v>
      </c>
      <c r="B203" s="262"/>
      <c r="C203" s="361"/>
      <c r="D203" s="361"/>
      <c r="E203" s="362"/>
      <c r="F203" s="265"/>
      <c r="G203" s="265"/>
      <c r="H203" s="265"/>
      <c r="I203" s="265"/>
      <c r="J203" s="265"/>
      <c r="K203" s="265"/>
      <c r="L203" s="265"/>
      <c r="M203" s="265"/>
      <c r="N203" s="265"/>
      <c r="O203" s="265"/>
      <c r="P203" s="265"/>
      <c r="Q203" s="265"/>
      <c r="R203" s="265"/>
      <c r="S203" s="265"/>
      <c r="T203" s="265"/>
      <c r="U203" s="61"/>
      <c r="V203" s="61"/>
      <c r="W203" s="61"/>
      <c r="X203" s="61"/>
      <c r="Y203" s="61"/>
      <c r="Z203" s="61"/>
      <c r="AA203" s="61"/>
      <c r="AB203" s="61"/>
      <c r="AC203" s="61"/>
    </row>
    <row r="204" spans="1:29" s="134" customFormat="1" x14ac:dyDescent="0.7">
      <c r="A204" s="56" t="s">
        <v>201</v>
      </c>
      <c r="B204" s="84" t="s">
        <v>206</v>
      </c>
      <c r="C204" s="442" t="s">
        <v>25</v>
      </c>
      <c r="D204" s="442"/>
      <c r="E204" s="442"/>
      <c r="F204" s="36"/>
      <c r="G204" s="36"/>
      <c r="H204" s="36"/>
      <c r="I204" s="36"/>
      <c r="J204" s="36"/>
      <c r="K204" s="36"/>
      <c r="L204" s="36"/>
      <c r="M204" s="36"/>
      <c r="N204" s="36"/>
      <c r="O204" s="36"/>
      <c r="P204" s="36"/>
      <c r="Q204" s="36"/>
      <c r="R204" s="36"/>
      <c r="S204" s="36"/>
      <c r="T204" s="36"/>
      <c r="U204" s="36"/>
      <c r="V204" s="36"/>
      <c r="W204" s="36"/>
      <c r="X204" s="36"/>
      <c r="Y204" s="36"/>
      <c r="Z204" s="36"/>
      <c r="AA204" s="36"/>
      <c r="AB204" s="61"/>
      <c r="AC204" s="61"/>
    </row>
    <row r="205" spans="1:29" s="134" customFormat="1" ht="23.25" customHeight="1" x14ac:dyDescent="0.7">
      <c r="A205" s="34" t="s">
        <v>204</v>
      </c>
      <c r="B205" s="91">
        <f>B202/SUM($B$202:$B$202)</f>
        <v>1</v>
      </c>
      <c r="C205" s="441" t="s">
        <v>259</v>
      </c>
      <c r="D205" s="441"/>
      <c r="E205" s="441"/>
      <c r="F205" s="36"/>
      <c r="G205" s="36"/>
      <c r="H205" s="36"/>
      <c r="I205" s="36"/>
      <c r="J205" s="36"/>
      <c r="K205" s="36"/>
      <c r="L205" s="36"/>
      <c r="M205" s="36"/>
      <c r="N205" s="36"/>
      <c r="O205" s="36"/>
      <c r="P205" s="36"/>
      <c r="Q205" s="36"/>
      <c r="R205" s="36"/>
      <c r="S205" s="36"/>
      <c r="T205" s="36"/>
      <c r="U205" s="264"/>
      <c r="V205" s="264"/>
      <c r="W205" s="264"/>
      <c r="X205" s="264"/>
      <c r="Y205" s="264"/>
      <c r="Z205" s="264"/>
      <c r="AA205" s="264"/>
      <c r="AB205" s="61"/>
      <c r="AC205" s="61"/>
    </row>
    <row r="206" spans="1:29" s="134" customFormat="1" x14ac:dyDescent="0.7">
      <c r="A206" s="34" t="s">
        <v>202</v>
      </c>
      <c r="B206" s="91">
        <v>0</v>
      </c>
      <c r="C206" s="441"/>
      <c r="D206" s="441"/>
      <c r="E206" s="441"/>
      <c r="F206" s="36"/>
      <c r="G206" s="36"/>
      <c r="H206" s="36"/>
      <c r="I206" s="36"/>
      <c r="J206" s="36"/>
      <c r="K206" s="36"/>
      <c r="L206" s="36"/>
      <c r="M206" s="36"/>
      <c r="N206" s="36"/>
      <c r="O206" s="36"/>
      <c r="P206" s="36"/>
      <c r="Q206" s="36"/>
      <c r="R206" s="36"/>
      <c r="S206" s="36"/>
      <c r="T206" s="36"/>
      <c r="U206" s="264"/>
      <c r="V206" s="264"/>
      <c r="W206" s="264"/>
      <c r="X206" s="264"/>
      <c r="Y206" s="264"/>
      <c r="Z206" s="264"/>
      <c r="AA206" s="264"/>
      <c r="AB206" s="61"/>
      <c r="AC206" s="61"/>
    </row>
    <row r="207" spans="1:29" s="134" customFormat="1" x14ac:dyDescent="0.7">
      <c r="A207" s="34" t="s">
        <v>245</v>
      </c>
      <c r="B207" s="91">
        <v>0</v>
      </c>
      <c r="C207" s="441"/>
      <c r="D207" s="441"/>
      <c r="E207" s="441"/>
      <c r="F207" s="36"/>
      <c r="G207" s="36"/>
      <c r="H207" s="36"/>
      <c r="I207" s="36"/>
      <c r="J207" s="36"/>
      <c r="K207" s="36"/>
      <c r="L207" s="36"/>
      <c r="M207" s="36"/>
      <c r="N207" s="36"/>
      <c r="O207" s="36"/>
      <c r="P207" s="36"/>
      <c r="Q207" s="36"/>
      <c r="R207" s="36"/>
      <c r="S207" s="36"/>
      <c r="T207" s="36"/>
      <c r="U207" s="264"/>
      <c r="V207" s="264"/>
      <c r="W207" s="264"/>
      <c r="X207" s="264"/>
      <c r="Y207" s="264"/>
      <c r="Z207" s="264"/>
      <c r="AA207" s="264"/>
      <c r="AB207" s="61"/>
      <c r="AC207" s="61"/>
    </row>
    <row r="208" spans="1:29" s="134" customFormat="1" x14ac:dyDescent="0.7">
      <c r="A208" s="127" t="s">
        <v>203</v>
      </c>
      <c r="B208" s="128">
        <v>0</v>
      </c>
      <c r="C208" s="441"/>
      <c r="D208" s="441"/>
      <c r="E208" s="441"/>
      <c r="F208" s="36"/>
      <c r="G208" s="36"/>
      <c r="H208" s="36"/>
      <c r="I208" s="36"/>
      <c r="J208" s="36"/>
      <c r="K208" s="36"/>
      <c r="L208" s="36"/>
      <c r="M208" s="36"/>
      <c r="N208" s="36"/>
      <c r="O208" s="36"/>
      <c r="P208" s="36"/>
      <c r="Q208" s="36"/>
      <c r="R208" s="36"/>
      <c r="S208" s="36"/>
      <c r="T208" s="36"/>
      <c r="U208" s="264"/>
      <c r="V208" s="264"/>
      <c r="W208" s="264"/>
      <c r="X208" s="264"/>
      <c r="Y208" s="264"/>
      <c r="Z208" s="264"/>
      <c r="AA208" s="264"/>
      <c r="AB208" s="61"/>
      <c r="AC208" s="61"/>
    </row>
    <row r="209" spans="1:29" s="234" customFormat="1" x14ac:dyDescent="0.85">
      <c r="A209" s="201" t="s">
        <v>260</v>
      </c>
      <c r="B209" s="202"/>
      <c r="C209" s="363"/>
      <c r="D209" s="363"/>
      <c r="E209" s="358"/>
      <c r="F209" s="265"/>
      <c r="G209" s="265"/>
      <c r="H209" s="265"/>
      <c r="I209" s="265"/>
      <c r="J209" s="265"/>
      <c r="K209" s="265"/>
      <c r="L209" s="265"/>
      <c r="M209" s="265"/>
      <c r="N209" s="265"/>
      <c r="O209" s="265"/>
      <c r="P209" s="265"/>
      <c r="Q209" s="265"/>
      <c r="R209" s="265"/>
      <c r="S209" s="265"/>
      <c r="T209" s="265"/>
      <c r="U209" s="265"/>
      <c r="V209" s="265"/>
      <c r="W209" s="265"/>
      <c r="X209" s="265"/>
      <c r="Y209" s="265"/>
      <c r="Z209" s="265"/>
      <c r="AA209" s="265"/>
      <c r="AB209" s="265"/>
      <c r="AC209" s="265"/>
    </row>
    <row r="210" spans="1:29" s="237" customFormat="1" x14ac:dyDescent="0.3">
      <c r="A210" s="57" t="s">
        <v>125</v>
      </c>
      <c r="B210" s="24" t="s">
        <v>3</v>
      </c>
      <c r="C210" s="446" t="s">
        <v>25</v>
      </c>
      <c r="D210" s="446"/>
      <c r="E210" s="446"/>
      <c r="F210" s="266"/>
      <c r="G210" s="267"/>
      <c r="H210" s="267"/>
      <c r="I210" s="267"/>
      <c r="J210" s="267"/>
      <c r="K210" s="267"/>
      <c r="L210" s="267"/>
      <c r="M210" s="267"/>
      <c r="N210" s="267"/>
      <c r="O210" s="267"/>
      <c r="P210" s="267"/>
      <c r="Q210" s="267"/>
      <c r="R210" s="267"/>
      <c r="S210" s="267"/>
      <c r="T210" s="267"/>
      <c r="U210" s="267"/>
      <c r="V210" s="267"/>
      <c r="W210" s="267"/>
      <c r="X210" s="267"/>
      <c r="Y210" s="267"/>
      <c r="Z210" s="267"/>
      <c r="AA210" s="267"/>
      <c r="AB210" s="267"/>
      <c r="AC210" s="267"/>
    </row>
    <row r="211" spans="1:29" ht="84.75" customHeight="1" x14ac:dyDescent="0.85">
      <c r="A211" s="42" t="s">
        <v>268</v>
      </c>
      <c r="B211" s="125">
        <v>0.56299999999999994</v>
      </c>
      <c r="C211" s="441" t="s">
        <v>509</v>
      </c>
      <c r="D211" s="441"/>
      <c r="E211" s="441"/>
    </row>
    <row r="212" spans="1:29" ht="84.75" customHeight="1" x14ac:dyDescent="0.85">
      <c r="A212" s="42" t="s">
        <v>269</v>
      </c>
      <c r="B212" s="126">
        <f>1-B211</f>
        <v>0.43700000000000006</v>
      </c>
      <c r="C212" s="441"/>
      <c r="D212" s="441"/>
      <c r="E212" s="441"/>
    </row>
    <row r="213" spans="1:29" s="236" customFormat="1" ht="24" customHeight="1" x14ac:dyDescent="0.9">
      <c r="A213" s="139" t="s">
        <v>58</v>
      </c>
      <c r="B213" s="140"/>
      <c r="C213" s="364"/>
      <c r="D213" s="364"/>
      <c r="E213" s="365"/>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row>
    <row r="214" spans="1:29" s="134" customFormat="1" ht="24" customHeight="1" x14ac:dyDescent="0.85">
      <c r="A214" s="261" t="s">
        <v>277</v>
      </c>
      <c r="B214" s="262"/>
      <c r="C214" s="262"/>
      <c r="D214" s="361"/>
      <c r="E214" s="360"/>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row>
    <row r="215" spans="1:29" s="134" customFormat="1" x14ac:dyDescent="0.85">
      <c r="A215" s="56" t="s">
        <v>201</v>
      </c>
      <c r="B215" s="84" t="s">
        <v>252</v>
      </c>
      <c r="C215" s="84" t="s">
        <v>278</v>
      </c>
      <c r="D215" s="442" t="s">
        <v>25</v>
      </c>
      <c r="E215" s="44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row>
    <row r="216" spans="1:29" ht="23.25" customHeight="1" x14ac:dyDescent="0.85">
      <c r="A216" s="34" t="s">
        <v>33</v>
      </c>
      <c r="B216" s="58">
        <v>31189.767253521128</v>
      </c>
      <c r="C216" s="91">
        <f>B216/SUM($B$216:$B$220)</f>
        <v>3.6315875589160588E-3</v>
      </c>
      <c r="D216" s="441" t="s">
        <v>282</v>
      </c>
      <c r="E216" s="441"/>
    </row>
    <row r="217" spans="1:29" x14ac:dyDescent="0.85">
      <c r="A217" s="34" t="s">
        <v>270</v>
      </c>
      <c r="B217" s="58">
        <v>888178.2608695653</v>
      </c>
      <c r="C217" s="91">
        <f t="shared" ref="C217:C220" si="71">B217/SUM($B$216:$B$220)</f>
        <v>0.10341523538972471</v>
      </c>
      <c r="D217" s="441"/>
      <c r="E217" s="441"/>
    </row>
    <row r="218" spans="1:29" s="134" customFormat="1" ht="23.25" customHeight="1" x14ac:dyDescent="0.85">
      <c r="A218" s="34" t="s">
        <v>44</v>
      </c>
      <c r="B218" s="58">
        <v>2263867.6599999997</v>
      </c>
      <c r="C218" s="91">
        <f t="shared" si="71"/>
        <v>0.26359393971304035</v>
      </c>
      <c r="D218" s="441"/>
      <c r="E218" s="441"/>
      <c r="F218" s="22"/>
      <c r="G218" s="22"/>
      <c r="H218" s="22"/>
      <c r="I218" s="22"/>
      <c r="J218" s="22"/>
      <c r="K218" s="22"/>
      <c r="L218" s="22"/>
      <c r="M218" s="22"/>
      <c r="N218" s="22"/>
      <c r="O218" s="22"/>
      <c r="P218" s="22"/>
      <c r="Q218" s="22"/>
      <c r="R218" s="22"/>
      <c r="S218" s="22"/>
      <c r="T218" s="22"/>
      <c r="U218" s="22"/>
      <c r="V218" s="22"/>
      <c r="W218" s="22"/>
      <c r="X218" s="22"/>
      <c r="Y218" s="22"/>
      <c r="Z218" s="22"/>
      <c r="AA218" s="22"/>
      <c r="AB218" s="22"/>
      <c r="AC218" s="22"/>
    </row>
    <row r="219" spans="1:29" x14ac:dyDescent="0.85">
      <c r="A219" s="34" t="s">
        <v>55</v>
      </c>
      <c r="B219" s="142">
        <f>(B218/0.9)*0.1</f>
        <v>251540.85111111111</v>
      </c>
      <c r="C219" s="91">
        <f t="shared" si="71"/>
        <v>2.9288215523671158E-2</v>
      </c>
      <c r="D219" s="441"/>
      <c r="E219" s="441"/>
    </row>
    <row r="220" spans="1:29" x14ac:dyDescent="0.85">
      <c r="A220" s="34" t="s">
        <v>54</v>
      </c>
      <c r="B220" s="58">
        <v>5153689.7299999995</v>
      </c>
      <c r="C220" s="91">
        <f t="shared" si="71"/>
        <v>0.60007102181464766</v>
      </c>
      <c r="D220" s="441"/>
      <c r="E220" s="441"/>
    </row>
    <row r="221" spans="1:29" s="134" customFormat="1" ht="24" customHeight="1" x14ac:dyDescent="0.85">
      <c r="A221" s="261" t="s">
        <v>279</v>
      </c>
      <c r="B221" s="262"/>
      <c r="C221" s="262"/>
      <c r="D221" s="359"/>
      <c r="E221" s="36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row>
    <row r="222" spans="1:29" s="134" customFormat="1" x14ac:dyDescent="0.85">
      <c r="A222" s="56" t="s">
        <v>201</v>
      </c>
      <c r="B222" s="84" t="s">
        <v>215</v>
      </c>
      <c r="C222" s="84" t="s">
        <v>4</v>
      </c>
      <c r="D222" s="442" t="s">
        <v>25</v>
      </c>
      <c r="E222" s="442"/>
      <c r="F222" s="22"/>
      <c r="G222" s="22"/>
      <c r="H222" s="22"/>
      <c r="I222" s="22"/>
      <c r="J222" s="22"/>
      <c r="K222" s="22"/>
      <c r="L222" s="22"/>
      <c r="M222" s="22"/>
      <c r="N222" s="22"/>
      <c r="O222" s="22"/>
      <c r="P222" s="22"/>
      <c r="Q222" s="22"/>
      <c r="R222" s="22"/>
      <c r="S222" s="22"/>
      <c r="T222" s="22"/>
      <c r="U222" s="22"/>
      <c r="V222" s="22"/>
      <c r="W222" s="22"/>
      <c r="X222" s="22"/>
      <c r="Y222" s="22"/>
      <c r="Z222" s="22"/>
      <c r="AA222" s="22"/>
      <c r="AB222" s="22"/>
      <c r="AC222" s="22"/>
    </row>
    <row r="223" spans="1:29" ht="23.25" customHeight="1" x14ac:dyDescent="0.85">
      <c r="A223" s="34" t="s">
        <v>33</v>
      </c>
      <c r="B223" s="58">
        <v>88578.938999999998</v>
      </c>
      <c r="C223" s="91" t="s">
        <v>8</v>
      </c>
      <c r="D223" s="441" t="s">
        <v>282</v>
      </c>
      <c r="E223" s="441"/>
    </row>
    <row r="224" spans="1:29" x14ac:dyDescent="0.85">
      <c r="A224" s="34" t="s">
        <v>270</v>
      </c>
      <c r="B224" s="58">
        <v>252323.36956521741</v>
      </c>
      <c r="C224" s="91" t="s">
        <v>281</v>
      </c>
      <c r="D224" s="441"/>
      <c r="E224" s="441"/>
    </row>
    <row r="225" spans="1:29" s="134" customFormat="1" ht="23.25" customHeight="1" x14ac:dyDescent="0.85">
      <c r="A225" s="34" t="s">
        <v>44</v>
      </c>
      <c r="B225" s="186">
        <f>318854.6*0.9</f>
        <v>286969.14</v>
      </c>
      <c r="C225" s="91" t="s">
        <v>280</v>
      </c>
      <c r="D225" s="441"/>
      <c r="E225" s="441"/>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row>
    <row r="226" spans="1:29" x14ac:dyDescent="0.85">
      <c r="A226" s="34" t="s">
        <v>55</v>
      </c>
      <c r="B226" s="142">
        <f>318854.6*0.1</f>
        <v>31885.46</v>
      </c>
      <c r="C226" s="91" t="s">
        <v>280</v>
      </c>
      <c r="D226" s="441"/>
      <c r="E226" s="441"/>
    </row>
    <row r="227" spans="1:29" x14ac:dyDescent="0.85">
      <c r="A227" s="34" t="s">
        <v>54</v>
      </c>
      <c r="B227" s="58">
        <v>782046.99999999988</v>
      </c>
      <c r="C227" s="91" t="s">
        <v>280</v>
      </c>
      <c r="D227" s="441"/>
      <c r="E227" s="441"/>
    </row>
    <row r="228" spans="1:29" s="134" customFormat="1" ht="24" customHeight="1" x14ac:dyDescent="0.85">
      <c r="A228" s="261" t="s">
        <v>283</v>
      </c>
      <c r="B228" s="262"/>
      <c r="C228" s="262"/>
      <c r="D228" s="359"/>
      <c r="E228" s="362"/>
      <c r="F228" s="22"/>
      <c r="G228" s="22"/>
      <c r="H228" s="22"/>
      <c r="I228" s="22"/>
      <c r="J228" s="22"/>
      <c r="K228" s="22"/>
      <c r="L228" s="22"/>
      <c r="M228" s="22"/>
      <c r="N228" s="22"/>
      <c r="O228" s="22"/>
      <c r="P228" s="22"/>
      <c r="Q228" s="22"/>
      <c r="R228" s="22"/>
      <c r="S228" s="22"/>
      <c r="T228" s="22"/>
      <c r="U228" s="22"/>
      <c r="V228" s="22"/>
      <c r="W228" s="22"/>
      <c r="X228" s="22"/>
      <c r="Y228" s="22"/>
      <c r="Z228" s="22"/>
      <c r="AA228" s="22"/>
      <c r="AB228" s="22"/>
      <c r="AC228" s="22"/>
    </row>
    <row r="229" spans="1:29" s="134" customFormat="1" x14ac:dyDescent="0.85">
      <c r="A229" s="56" t="s">
        <v>201</v>
      </c>
      <c r="B229" s="84" t="s">
        <v>123</v>
      </c>
      <c r="C229" s="84" t="s">
        <v>4</v>
      </c>
      <c r="D229" s="442" t="s">
        <v>25</v>
      </c>
      <c r="E229" s="44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row>
    <row r="230" spans="1:29" ht="23.25" customHeight="1" x14ac:dyDescent="0.85">
      <c r="A230" s="34" t="s">
        <v>33</v>
      </c>
      <c r="B230" s="143">
        <f>B216/B223</f>
        <v>0.35211267605633806</v>
      </c>
      <c r="C230" s="91" t="s">
        <v>286</v>
      </c>
      <c r="D230" s="441" t="s">
        <v>287</v>
      </c>
      <c r="E230" s="441"/>
    </row>
    <row r="231" spans="1:29" x14ac:dyDescent="0.85">
      <c r="A231" s="34" t="s">
        <v>270</v>
      </c>
      <c r="B231" s="143">
        <f>B217/B224</f>
        <v>3.52</v>
      </c>
      <c r="C231" s="91" t="s">
        <v>285</v>
      </c>
      <c r="D231" s="441"/>
      <c r="E231" s="441"/>
    </row>
    <row r="232" spans="1:29" s="134" customFormat="1" ht="23.25" customHeight="1" x14ac:dyDescent="0.7">
      <c r="A232" s="34" t="s">
        <v>44</v>
      </c>
      <c r="B232" s="143">
        <f>B218/B225</f>
        <v>7.8888888888888875</v>
      </c>
      <c r="C232" s="91" t="s">
        <v>284</v>
      </c>
      <c r="D232" s="441"/>
      <c r="E232" s="441"/>
      <c r="F232" s="61"/>
      <c r="G232" s="36"/>
      <c r="H232" s="36"/>
      <c r="I232" s="36"/>
      <c r="J232" s="36"/>
      <c r="K232" s="36"/>
      <c r="L232" s="36"/>
      <c r="M232" s="36"/>
      <c r="N232" s="36"/>
      <c r="O232" s="36"/>
      <c r="P232" s="36"/>
      <c r="Q232" s="36"/>
      <c r="R232" s="36"/>
      <c r="S232" s="36"/>
      <c r="T232" s="36"/>
      <c r="U232" s="264"/>
      <c r="V232" s="264"/>
      <c r="W232" s="264"/>
      <c r="X232" s="264"/>
      <c r="Y232" s="264"/>
      <c r="Z232" s="264"/>
      <c r="AA232" s="264"/>
      <c r="AB232" s="61"/>
      <c r="AC232" s="61"/>
    </row>
    <row r="233" spans="1:29" x14ac:dyDescent="0.85">
      <c r="A233" s="34" t="s">
        <v>55</v>
      </c>
      <c r="B233" s="143">
        <f>B219/B226</f>
        <v>7.8888888888888893</v>
      </c>
      <c r="C233" s="91" t="s">
        <v>284</v>
      </c>
      <c r="D233" s="441"/>
      <c r="E233" s="441"/>
    </row>
    <row r="234" spans="1:29" x14ac:dyDescent="0.85">
      <c r="A234" s="34" t="s">
        <v>54</v>
      </c>
      <c r="B234" s="143">
        <f>B220/B227</f>
        <v>6.5900000000000007</v>
      </c>
      <c r="C234" s="91" t="s">
        <v>284</v>
      </c>
      <c r="D234" s="441"/>
      <c r="E234" s="441"/>
    </row>
  </sheetData>
  <mergeCells count="31">
    <mergeCell ref="D230:E234"/>
    <mergeCell ref="A3:I3"/>
    <mergeCell ref="A15:I15"/>
    <mergeCell ref="A9:I9"/>
    <mergeCell ref="A17:I17"/>
    <mergeCell ref="A10:I10"/>
    <mergeCell ref="A11:I11"/>
    <mergeCell ref="A13:I13"/>
    <mergeCell ref="A14:I14"/>
    <mergeCell ref="A4:I4"/>
    <mergeCell ref="A5:I5"/>
    <mergeCell ref="A7:I7"/>
    <mergeCell ref="A6:I6"/>
    <mergeCell ref="A12:I12"/>
    <mergeCell ref="A16:I16"/>
    <mergeCell ref="A18:F18"/>
    <mergeCell ref="A8:I8"/>
    <mergeCell ref="E175:E180"/>
    <mergeCell ref="D201:E201"/>
    <mergeCell ref="D202:E202"/>
    <mergeCell ref="D229:E229"/>
    <mergeCell ref="E184:E190"/>
    <mergeCell ref="E193:E199"/>
    <mergeCell ref="C210:E210"/>
    <mergeCell ref="C205:E208"/>
    <mergeCell ref="C204:E204"/>
    <mergeCell ref="D223:E227"/>
    <mergeCell ref="D222:E222"/>
    <mergeCell ref="D216:E220"/>
    <mergeCell ref="D215:E215"/>
    <mergeCell ref="C211:E2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08423-326E-4B36-B35F-4BC8CB4D81DC}">
  <sheetPr>
    <tabColor rgb="FFB8CCE4"/>
  </sheetPr>
  <dimension ref="A1:IN251"/>
  <sheetViews>
    <sheetView showGridLines="0" topLeftCell="A10" zoomScaleNormal="100" workbookViewId="0">
      <selection activeCell="C15" sqref="C15"/>
    </sheetView>
  </sheetViews>
  <sheetFormatPr defaultColWidth="9.109375" defaultRowHeight="20.399999999999999" outlineLevelRow="1" x14ac:dyDescent="0.7"/>
  <cols>
    <col min="1" max="1" width="61.44140625" style="61" customWidth="1"/>
    <col min="2" max="2" width="18.44140625" style="61" bestFit="1" customWidth="1"/>
    <col min="3" max="4" width="19.5546875" style="61" customWidth="1"/>
    <col min="5" max="5" width="15.88671875" style="61" bestFit="1" customWidth="1"/>
    <col min="6" max="6" width="15.5546875" style="61" bestFit="1" customWidth="1"/>
    <col min="7" max="7" width="15.44140625" style="61" bestFit="1" customWidth="1"/>
    <col min="8" max="8" width="14.5546875" style="61" bestFit="1" customWidth="1"/>
    <col min="9" max="9" width="14.109375" style="61" bestFit="1" customWidth="1"/>
    <col min="10" max="10" width="15" style="61" bestFit="1" customWidth="1"/>
    <col min="11" max="14" width="14.109375" style="61" bestFit="1" customWidth="1"/>
    <col min="15" max="15" width="14.5546875" style="61" bestFit="1" customWidth="1"/>
    <col min="16" max="17" width="14.109375" style="61" bestFit="1" customWidth="1"/>
    <col min="18" max="18" width="14.88671875" style="61" bestFit="1" customWidth="1"/>
    <col min="19" max="19" width="15.44140625" style="61" bestFit="1" customWidth="1"/>
    <col min="20" max="20" width="16.109375" style="61" bestFit="1" customWidth="1"/>
    <col min="21" max="21" width="14" style="61" bestFit="1" customWidth="1"/>
    <col min="22" max="23" width="15" style="61" bestFit="1" customWidth="1"/>
    <col min="24" max="24" width="15.44140625" style="61" bestFit="1" customWidth="1"/>
    <col min="25" max="25" width="15.109375" style="61" bestFit="1" customWidth="1"/>
    <col min="26" max="26" width="15.5546875" style="61" bestFit="1" customWidth="1"/>
    <col min="27" max="27" width="15.109375" style="61" bestFit="1" customWidth="1"/>
    <col min="28" max="28" width="15.44140625" style="61" bestFit="1" customWidth="1"/>
    <col min="29" max="29" width="15.88671875" style="61" bestFit="1" customWidth="1"/>
    <col min="30" max="30" width="13.88671875" style="61" bestFit="1" customWidth="1"/>
    <col min="31" max="31" width="12.44140625" style="61" bestFit="1" customWidth="1"/>
    <col min="32" max="32" width="15.44140625" style="61" bestFit="1" customWidth="1"/>
    <col min="33" max="33" width="13.44140625" style="61" bestFit="1" customWidth="1"/>
    <col min="34" max="34" width="9.109375" style="61"/>
    <col min="35" max="35" width="13.44140625" style="61" bestFit="1" customWidth="1"/>
    <col min="36" max="16384" width="9.109375" style="61"/>
  </cols>
  <sheetData>
    <row r="1" spans="1:248" s="16" customFormat="1" ht="50.1" customHeight="1" x14ac:dyDescent="0.3">
      <c r="A1" s="452" t="s">
        <v>251</v>
      </c>
      <c r="B1" s="453"/>
      <c r="C1" s="453"/>
      <c r="D1" s="453"/>
      <c r="E1" s="453"/>
      <c r="F1" s="453"/>
      <c r="G1" s="453"/>
      <c r="H1" s="453"/>
      <c r="I1" s="453"/>
      <c r="J1" s="453"/>
      <c r="K1" s="453"/>
      <c r="L1" s="453"/>
      <c r="M1" s="453"/>
      <c r="N1" s="453"/>
      <c r="O1" s="453"/>
      <c r="P1" s="453"/>
      <c r="Q1" s="453"/>
      <c r="R1" s="453"/>
      <c r="S1" s="453"/>
      <c r="T1" s="453"/>
      <c r="U1" s="453"/>
      <c r="V1" s="453"/>
      <c r="W1" s="453"/>
      <c r="X1" s="453"/>
      <c r="Y1" s="453"/>
      <c r="Z1" s="453"/>
      <c r="AA1" s="453"/>
      <c r="AB1" s="453"/>
      <c r="AC1" s="454"/>
      <c r="AD1" s="54"/>
      <c r="AE1" s="54"/>
      <c r="AF1" s="54"/>
      <c r="AG1" s="54"/>
      <c r="AH1" s="54"/>
    </row>
    <row r="2" spans="1:248" s="16" customFormat="1" ht="30" customHeight="1" x14ac:dyDescent="0.3">
      <c r="A2" s="449" t="s">
        <v>36</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1"/>
      <c r="AD2" s="55"/>
      <c r="AE2" s="55"/>
      <c r="AF2" s="55"/>
      <c r="AG2" s="55"/>
      <c r="AH2" s="55"/>
    </row>
    <row r="3" spans="1:248" s="29" customFormat="1" ht="39" customHeight="1" outlineLevel="1" x14ac:dyDescent="0.3">
      <c r="A3" s="476" t="s">
        <v>600</v>
      </c>
      <c r="B3" s="476"/>
      <c r="C3" s="476"/>
      <c r="D3" s="476"/>
      <c r="E3" s="476"/>
      <c r="F3" s="476"/>
      <c r="G3" s="476"/>
      <c r="H3" s="476"/>
      <c r="I3" s="476"/>
      <c r="J3" s="476"/>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28"/>
      <c r="GW3" s="28"/>
      <c r="GX3" s="28"/>
      <c r="GY3" s="28"/>
      <c r="GZ3" s="28"/>
      <c r="HA3" s="28"/>
      <c r="HB3" s="28"/>
      <c r="HC3" s="28"/>
      <c r="HD3" s="28"/>
      <c r="HE3" s="28"/>
      <c r="HF3" s="28"/>
      <c r="HG3" s="28"/>
      <c r="HH3" s="28"/>
      <c r="HI3" s="28"/>
      <c r="HJ3" s="28"/>
      <c r="HK3" s="28"/>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row>
    <row r="4" spans="1:248" ht="46.35" customHeight="1" outlineLevel="1" x14ac:dyDescent="0.7">
      <c r="A4" s="415" t="s">
        <v>696</v>
      </c>
      <c r="B4" s="415"/>
      <c r="C4" s="415"/>
      <c r="D4" s="415"/>
      <c r="E4" s="415"/>
      <c r="F4" s="415"/>
      <c r="G4" s="415"/>
      <c r="H4" s="415"/>
      <c r="I4" s="415"/>
      <c r="J4" s="415"/>
    </row>
    <row r="5" spans="1:248" ht="72" customHeight="1" outlineLevel="1" x14ac:dyDescent="0.7">
      <c r="A5" s="415" t="s">
        <v>697</v>
      </c>
      <c r="B5" s="415"/>
      <c r="C5" s="415"/>
      <c r="D5" s="415"/>
      <c r="E5" s="415"/>
      <c r="F5" s="415"/>
      <c r="G5" s="415"/>
      <c r="H5" s="415"/>
      <c r="I5" s="415"/>
      <c r="J5" s="415"/>
    </row>
    <row r="6" spans="1:248" ht="63" customHeight="1" outlineLevel="1" x14ac:dyDescent="0.7">
      <c r="A6" s="415" t="s">
        <v>618</v>
      </c>
      <c r="B6" s="415"/>
      <c r="C6" s="415"/>
      <c r="D6" s="415"/>
      <c r="E6" s="415"/>
      <c r="F6" s="415"/>
      <c r="G6" s="415"/>
      <c r="H6" s="415"/>
      <c r="I6" s="415"/>
      <c r="J6" s="415"/>
    </row>
    <row r="7" spans="1:248" outlineLevel="1" x14ac:dyDescent="0.7">
      <c r="A7" s="415" t="s">
        <v>535</v>
      </c>
      <c r="B7" s="415"/>
      <c r="C7" s="415"/>
      <c r="D7" s="415"/>
      <c r="E7" s="415"/>
      <c r="F7" s="415"/>
      <c r="G7" s="415"/>
      <c r="H7" s="415"/>
      <c r="I7" s="415"/>
      <c r="J7" s="415"/>
    </row>
    <row r="8" spans="1:248" ht="177.75" customHeight="1" outlineLevel="1" x14ac:dyDescent="0.7">
      <c r="A8" s="415" t="s">
        <v>644</v>
      </c>
      <c r="B8" s="415"/>
      <c r="C8" s="415"/>
      <c r="D8" s="415"/>
      <c r="E8" s="415"/>
      <c r="F8" s="415"/>
      <c r="G8" s="415"/>
      <c r="H8" s="415"/>
      <c r="I8" s="415"/>
      <c r="J8" s="415"/>
    </row>
    <row r="9" spans="1:248" ht="93" customHeight="1" outlineLevel="1" x14ac:dyDescent="0.7">
      <c r="A9" s="415" t="s">
        <v>601</v>
      </c>
      <c r="B9" s="415"/>
      <c r="C9" s="415"/>
      <c r="D9" s="415"/>
      <c r="E9" s="415"/>
      <c r="F9" s="415"/>
      <c r="G9" s="415"/>
      <c r="H9" s="415"/>
      <c r="I9" s="415"/>
      <c r="J9" s="415"/>
    </row>
    <row r="10" spans="1:248" outlineLevel="1" x14ac:dyDescent="0.7"/>
    <row r="11" spans="1:248" s="16" customFormat="1" ht="30" customHeight="1" x14ac:dyDescent="0.3">
      <c r="A11" s="449" t="s">
        <v>133</v>
      </c>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1"/>
      <c r="AD11" s="55"/>
      <c r="AE11" s="55"/>
      <c r="AF11" s="55"/>
      <c r="AG11" s="55"/>
      <c r="AH11" s="55"/>
    </row>
    <row r="12" spans="1:248" s="17" customFormat="1" ht="26.4" x14ac:dyDescent="0.9">
      <c r="A12" s="490" t="s">
        <v>311</v>
      </c>
      <c r="B12" s="491"/>
      <c r="C12" s="491"/>
      <c r="D12" s="491"/>
      <c r="E12" s="491"/>
      <c r="F12" s="491"/>
      <c r="G12" s="491"/>
      <c r="H12" s="491"/>
      <c r="I12" s="491"/>
      <c r="J12" s="491"/>
      <c r="K12" s="491"/>
      <c r="L12" s="491"/>
      <c r="M12" s="491"/>
      <c r="N12" s="491"/>
      <c r="O12" s="491"/>
      <c r="P12" s="491"/>
      <c r="Q12" s="491"/>
      <c r="R12" s="491"/>
      <c r="S12" s="491"/>
      <c r="T12" s="491"/>
      <c r="U12" s="491"/>
      <c r="V12" s="491"/>
      <c r="W12" s="491"/>
      <c r="X12" s="491"/>
      <c r="Y12" s="491"/>
      <c r="Z12" s="491"/>
      <c r="AA12" s="491"/>
      <c r="AB12" s="491"/>
      <c r="AC12" s="492"/>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row>
    <row r="13" spans="1:248" s="19" customFormat="1" ht="24" x14ac:dyDescent="0.7">
      <c r="A13" s="65"/>
      <c r="B13" s="2">
        <v>2023</v>
      </c>
      <c r="C13" s="2">
        <v>2024</v>
      </c>
      <c r="D13" s="2">
        <v>2025</v>
      </c>
      <c r="E13" s="2">
        <v>2026</v>
      </c>
      <c r="F13" s="2">
        <v>2027</v>
      </c>
      <c r="G13" s="2">
        <v>2028</v>
      </c>
      <c r="H13" s="2">
        <v>2029</v>
      </c>
      <c r="I13" s="2">
        <v>2030</v>
      </c>
      <c r="J13" s="2">
        <v>2031</v>
      </c>
      <c r="K13" s="2">
        <v>2032</v>
      </c>
      <c r="L13" s="2">
        <v>2033</v>
      </c>
      <c r="M13" s="2">
        <v>2034</v>
      </c>
      <c r="N13" s="2">
        <v>2035</v>
      </c>
      <c r="O13" s="2">
        <v>2036</v>
      </c>
      <c r="P13" s="2">
        <v>2037</v>
      </c>
      <c r="Q13" s="2">
        <v>2038</v>
      </c>
      <c r="R13" s="2">
        <v>2039</v>
      </c>
      <c r="S13" s="2">
        <v>2040</v>
      </c>
      <c r="T13" s="2">
        <v>2041</v>
      </c>
      <c r="U13" s="2">
        <v>2042</v>
      </c>
      <c r="V13" s="2">
        <v>2043</v>
      </c>
      <c r="W13" s="2">
        <v>2044</v>
      </c>
      <c r="X13" s="2">
        <v>2045</v>
      </c>
      <c r="Y13" s="2">
        <v>2046</v>
      </c>
      <c r="Z13" s="2">
        <v>2047</v>
      </c>
      <c r="AA13" s="2">
        <v>2048</v>
      </c>
      <c r="AB13" s="2">
        <v>2049</v>
      </c>
      <c r="AC13" s="2">
        <v>2050</v>
      </c>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row>
    <row r="14" spans="1:248" s="19" customFormat="1" ht="24" x14ac:dyDescent="0.85">
      <c r="A14" s="495" t="s">
        <v>340</v>
      </c>
      <c r="B14" s="496"/>
      <c r="C14" s="496"/>
      <c r="D14" s="496"/>
      <c r="E14" s="496"/>
      <c r="F14" s="496"/>
      <c r="G14" s="496"/>
      <c r="H14" s="496"/>
      <c r="I14" s="496"/>
      <c r="J14" s="496"/>
      <c r="K14" s="496"/>
      <c r="L14" s="496"/>
      <c r="M14" s="496"/>
      <c r="N14" s="496"/>
      <c r="O14" s="496"/>
      <c r="P14" s="496"/>
      <c r="Q14" s="496"/>
      <c r="R14" s="496"/>
      <c r="S14" s="496"/>
      <c r="T14" s="496"/>
      <c r="U14" s="496"/>
      <c r="V14" s="496"/>
      <c r="W14" s="496"/>
      <c r="X14" s="496"/>
      <c r="Y14" s="496"/>
      <c r="Z14" s="496"/>
      <c r="AA14" s="496"/>
      <c r="AB14" s="496"/>
      <c r="AC14" s="497"/>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row>
    <row r="15" spans="1:248" s="19" customFormat="1" ht="24" x14ac:dyDescent="0.7">
      <c r="A15" s="66" t="s">
        <v>301</v>
      </c>
      <c r="B15" s="21">
        <v>0</v>
      </c>
      <c r="C15" s="21">
        <f>'Forecast Parameters'!C100-'Forecast Parameters'!B100</f>
        <v>3663220</v>
      </c>
      <c r="D15" s="21">
        <f>'Forecast Parameters'!D100-'Forecast Parameters'!C100</f>
        <v>3663220</v>
      </c>
      <c r="E15" s="21">
        <f>'Forecast Parameters'!E100-'Forecast Parameters'!D100</f>
        <v>3663220</v>
      </c>
      <c r="F15" s="21">
        <f>'Forecast Parameters'!F100-'Forecast Parameters'!E100</f>
        <v>3663219</v>
      </c>
      <c r="G15" s="21">
        <f>'Forecast Parameters'!G100-'Forecast Parameters'!F100</f>
        <v>3663220</v>
      </c>
      <c r="H15" s="21">
        <f>'Forecast Parameters'!H100-'Forecast Parameters'!G100</f>
        <v>3663220</v>
      </c>
      <c r="I15" s="21">
        <f>'Forecast Parameters'!I100-'Forecast Parameters'!H100</f>
        <v>3663220</v>
      </c>
      <c r="J15" s="21">
        <f>'Forecast Parameters'!J100-'Forecast Parameters'!I100</f>
        <v>3663219</v>
      </c>
      <c r="K15" s="21">
        <f>'Forecast Parameters'!K100-'Forecast Parameters'!J100</f>
        <v>3663220</v>
      </c>
      <c r="L15" s="21">
        <f>'Forecast Parameters'!L100-'Forecast Parameters'!K100</f>
        <v>3663220</v>
      </c>
      <c r="M15" s="21">
        <f>'Forecast Parameters'!M100-'Forecast Parameters'!L100</f>
        <v>3663220</v>
      </c>
      <c r="N15" s="21">
        <f>'Forecast Parameters'!N100-'Forecast Parameters'!M100</f>
        <v>3663220</v>
      </c>
      <c r="O15" s="21">
        <f>'Forecast Parameters'!O100-'Forecast Parameters'!N100</f>
        <v>3663219</v>
      </c>
      <c r="P15" s="21">
        <f>'Forecast Parameters'!P100-'Forecast Parameters'!O100</f>
        <v>3663220</v>
      </c>
      <c r="Q15" s="21">
        <f>'Forecast Parameters'!Q100-'Forecast Parameters'!P100</f>
        <v>3663220</v>
      </c>
      <c r="R15" s="21">
        <f>'Forecast Parameters'!R100-'Forecast Parameters'!Q100</f>
        <v>3663220</v>
      </c>
      <c r="S15" s="21">
        <f>'Forecast Parameters'!S100-'Forecast Parameters'!R100</f>
        <v>3663219</v>
      </c>
      <c r="T15" s="21">
        <f>'Forecast Parameters'!T100-'Forecast Parameters'!S100</f>
        <v>3822097</v>
      </c>
      <c r="U15" s="21">
        <f>'Forecast Parameters'!U100-'Forecast Parameters'!T100</f>
        <v>3846985</v>
      </c>
      <c r="V15" s="21">
        <f>'Forecast Parameters'!V100-'Forecast Parameters'!U100</f>
        <v>3872033</v>
      </c>
      <c r="W15" s="21">
        <f>'Forecast Parameters'!W100-'Forecast Parameters'!V100</f>
        <v>3897246</v>
      </c>
      <c r="X15" s="21">
        <f>'Forecast Parameters'!X100-'Forecast Parameters'!W100</f>
        <v>3922623</v>
      </c>
      <c r="Y15" s="21">
        <f>'Forecast Parameters'!Y100-'Forecast Parameters'!X100</f>
        <v>3948164</v>
      </c>
      <c r="Z15" s="21">
        <f>'Forecast Parameters'!Z100-'Forecast Parameters'!Y100</f>
        <v>3973872</v>
      </c>
      <c r="AA15" s="21">
        <f>'Forecast Parameters'!AA100-'Forecast Parameters'!Z100</f>
        <v>3999748</v>
      </c>
      <c r="AB15" s="21">
        <f>'Forecast Parameters'!AB100-'Forecast Parameters'!AA100</f>
        <v>4025792</v>
      </c>
      <c r="AC15" s="21">
        <f>'Forecast Parameters'!AC100-'Forecast Parameters'!AB100</f>
        <v>4052005</v>
      </c>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row>
    <row r="16" spans="1:248" s="19" customFormat="1" ht="24" x14ac:dyDescent="0.7">
      <c r="A16" s="66" t="s">
        <v>336</v>
      </c>
      <c r="B16" s="21">
        <f t="shared" ref="B16:AC16" si="0">B15*$B$174</f>
        <v>0</v>
      </c>
      <c r="C16" s="21">
        <f t="shared" si="0"/>
        <v>3296898</v>
      </c>
      <c r="D16" s="21">
        <f t="shared" si="0"/>
        <v>3296898</v>
      </c>
      <c r="E16" s="21">
        <f t="shared" si="0"/>
        <v>3296898</v>
      </c>
      <c r="F16" s="21">
        <f t="shared" si="0"/>
        <v>3296897.1</v>
      </c>
      <c r="G16" s="21">
        <f t="shared" si="0"/>
        <v>3296898</v>
      </c>
      <c r="H16" s="21">
        <f t="shared" si="0"/>
        <v>3296898</v>
      </c>
      <c r="I16" s="21">
        <f t="shared" si="0"/>
        <v>3296898</v>
      </c>
      <c r="J16" s="21">
        <f t="shared" si="0"/>
        <v>3296897.1</v>
      </c>
      <c r="K16" s="21">
        <f t="shared" si="0"/>
        <v>3296898</v>
      </c>
      <c r="L16" s="21">
        <f t="shared" si="0"/>
        <v>3296898</v>
      </c>
      <c r="M16" s="21">
        <f t="shared" si="0"/>
        <v>3296898</v>
      </c>
      <c r="N16" s="21">
        <f t="shared" si="0"/>
        <v>3296898</v>
      </c>
      <c r="O16" s="21">
        <f t="shared" si="0"/>
        <v>3296897.1</v>
      </c>
      <c r="P16" s="21">
        <f t="shared" si="0"/>
        <v>3296898</v>
      </c>
      <c r="Q16" s="21">
        <f t="shared" si="0"/>
        <v>3296898</v>
      </c>
      <c r="R16" s="21">
        <f t="shared" si="0"/>
        <v>3296898</v>
      </c>
      <c r="S16" s="21">
        <f t="shared" si="0"/>
        <v>3296897.1</v>
      </c>
      <c r="T16" s="21">
        <f t="shared" si="0"/>
        <v>3439887.3000000003</v>
      </c>
      <c r="U16" s="21">
        <f t="shared" si="0"/>
        <v>3462286.5</v>
      </c>
      <c r="V16" s="21">
        <f t="shared" si="0"/>
        <v>3484829.7</v>
      </c>
      <c r="W16" s="21">
        <f t="shared" si="0"/>
        <v>3507521.4</v>
      </c>
      <c r="X16" s="21">
        <f t="shared" si="0"/>
        <v>3530360.7</v>
      </c>
      <c r="Y16" s="21">
        <f t="shared" si="0"/>
        <v>3553347.6</v>
      </c>
      <c r="Z16" s="21">
        <f t="shared" si="0"/>
        <v>3576484.8000000003</v>
      </c>
      <c r="AA16" s="21">
        <f t="shared" si="0"/>
        <v>3599773.2</v>
      </c>
      <c r="AB16" s="21">
        <f t="shared" si="0"/>
        <v>3623212.8000000003</v>
      </c>
      <c r="AC16" s="21">
        <f t="shared" si="0"/>
        <v>3646804.5</v>
      </c>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row>
    <row r="17" spans="1:64" s="19" customFormat="1" ht="24" x14ac:dyDescent="0.7">
      <c r="A17" s="66" t="s">
        <v>698</v>
      </c>
      <c r="B17" s="21">
        <f t="shared" ref="B17:AC17" si="1">B16*$B$177</f>
        <v>0</v>
      </c>
      <c r="C17" s="21">
        <f>C16*$B$177</f>
        <v>114077206.37120561</v>
      </c>
      <c r="D17" s="21">
        <f t="shared" si="1"/>
        <v>114077206.37120561</v>
      </c>
      <c r="E17" s="21">
        <f t="shared" si="1"/>
        <v>114077206.37120561</v>
      </c>
      <c r="F17" s="21">
        <f t="shared" si="1"/>
        <v>114077175.22996747</v>
      </c>
      <c r="G17" s="21">
        <f t="shared" si="1"/>
        <v>114077206.37120561</v>
      </c>
      <c r="H17" s="21">
        <f t="shared" si="1"/>
        <v>114077206.37120561</v>
      </c>
      <c r="I17" s="21">
        <f t="shared" si="1"/>
        <v>114077206.37120561</v>
      </c>
      <c r="J17" s="21">
        <f t="shared" si="1"/>
        <v>114077175.22996747</v>
      </c>
      <c r="K17" s="21">
        <f t="shared" si="1"/>
        <v>114077206.37120561</v>
      </c>
      <c r="L17" s="21">
        <f t="shared" si="1"/>
        <v>114077206.37120561</v>
      </c>
      <c r="M17" s="21">
        <f t="shared" si="1"/>
        <v>114077206.37120561</v>
      </c>
      <c r="N17" s="21">
        <f t="shared" si="1"/>
        <v>114077206.37120561</v>
      </c>
      <c r="O17" s="21">
        <f t="shared" si="1"/>
        <v>114077175.22996747</v>
      </c>
      <c r="P17" s="21">
        <f t="shared" si="1"/>
        <v>114077206.37120561</v>
      </c>
      <c r="Q17" s="21">
        <f t="shared" si="1"/>
        <v>114077206.37120561</v>
      </c>
      <c r="R17" s="21">
        <f t="shared" si="1"/>
        <v>114077206.37120561</v>
      </c>
      <c r="S17" s="21">
        <f t="shared" si="1"/>
        <v>114077175.22996747</v>
      </c>
      <c r="T17" s="21">
        <f t="shared" si="1"/>
        <v>119024832.86282721</v>
      </c>
      <c r="U17" s="21">
        <f t="shared" si="1"/>
        <v>119799875.99760114</v>
      </c>
      <c r="V17" s="21">
        <f t="shared" si="1"/>
        <v>120579901.73047712</v>
      </c>
      <c r="W17" s="21">
        <f t="shared" si="1"/>
        <v>121365065.76764584</v>
      </c>
      <c r="X17" s="21">
        <f t="shared" si="1"/>
        <v>122155336.96786918</v>
      </c>
      <c r="Y17" s="21">
        <f t="shared" si="1"/>
        <v>122950715.33114709</v>
      </c>
      <c r="Z17" s="21">
        <f t="shared" si="1"/>
        <v>123751294.28119405</v>
      </c>
      <c r="AA17" s="21">
        <f t="shared" si="1"/>
        <v>124557104.95924813</v>
      </c>
      <c r="AB17" s="21">
        <f t="shared" si="1"/>
        <v>125368147.36530939</v>
      </c>
      <c r="AC17" s="21">
        <f t="shared" si="1"/>
        <v>126184452.64061591</v>
      </c>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row>
    <row r="18" spans="1:64" s="19" customFormat="1" ht="24" x14ac:dyDescent="0.7">
      <c r="A18" s="66" t="s">
        <v>619</v>
      </c>
      <c r="B18" s="21">
        <f>(B17*$B$189)/'Emission Factors and Constants'!$A$13</f>
        <v>0</v>
      </c>
      <c r="C18" s="21">
        <f>((C17*$B$189)/'Emission Factors and Constants'!$A$13)+B18</f>
        <v>401563.49633106758</v>
      </c>
      <c r="D18" s="21">
        <f>((D17*$B$189)/'Emission Factors and Constants'!$A$13)+C18</f>
        <v>803126.99266213516</v>
      </c>
      <c r="E18" s="21">
        <f>((E17*$B$189)/'Emission Factors and Constants'!$A$13)+D18</f>
        <v>1204690.4889932028</v>
      </c>
      <c r="F18" s="21">
        <f>((F17*$B$189)/'Emission Factors and Constants'!$A$13)+E18</f>
        <v>1606253.8757039101</v>
      </c>
      <c r="G18" s="21">
        <f>((G17*$B$189)/'Emission Factors and Constants'!$A$13)+F18</f>
        <v>2007817.3720349777</v>
      </c>
      <c r="H18" s="21">
        <f>((H17*$B$189)/'Emission Factors and Constants'!$A$13)+G18</f>
        <v>2409380.8683660454</v>
      </c>
      <c r="I18" s="21">
        <f>((I17*$B$189)/'Emission Factors and Constants'!$A$13)+H18</f>
        <v>2810944.3646971132</v>
      </c>
      <c r="J18" s="21">
        <f>((J17*$B$189)/'Emission Factors and Constants'!$A$13)+I18</f>
        <v>3212507.7514078203</v>
      </c>
      <c r="K18" s="21">
        <f>((K17*$B$189)/'Emission Factors and Constants'!$A$13)+J18</f>
        <v>3614071.247738888</v>
      </c>
      <c r="L18" s="21">
        <f>((L17*$B$189)/'Emission Factors and Constants'!$A$13)+K18</f>
        <v>4015634.7440699558</v>
      </c>
      <c r="M18" s="21">
        <f>((M17*$B$189)/'Emission Factors and Constants'!$A$13)+L18</f>
        <v>4417198.2404010231</v>
      </c>
      <c r="N18" s="21">
        <f>((N17*$B$189)/'Emission Factors and Constants'!$A$13)+M18</f>
        <v>4818761.7367320908</v>
      </c>
      <c r="O18" s="21">
        <f>((O17*$B$189)/'Emission Factors and Constants'!$A$13)+N18</f>
        <v>5220325.1234427979</v>
      </c>
      <c r="P18" s="21">
        <f>((P17*$B$189)/'Emission Factors and Constants'!$A$13)+O18</f>
        <v>5621888.6197738657</v>
      </c>
      <c r="Q18" s="21">
        <f>((Q17*$B$189)/'Emission Factors and Constants'!$A$13)+P18</f>
        <v>6023452.1161049334</v>
      </c>
      <c r="R18" s="21">
        <f>((R17*$B$189)/'Emission Factors and Constants'!$A$13)+Q18</f>
        <v>6425015.6124360012</v>
      </c>
      <c r="S18" s="21">
        <f>((S17*$B$189)/'Emission Factors and Constants'!$A$13)+R18</f>
        <v>6826578.9991467083</v>
      </c>
      <c r="T18" s="21">
        <f>((T17*$B$189)/'Emission Factors and Constants'!$A$13)+S18</f>
        <v>7245558.6494643204</v>
      </c>
      <c r="U18" s="21">
        <f>((U17*$B$189)/'Emission Factors and Constants'!$A$13)+T18</f>
        <v>7667266.5313095748</v>
      </c>
      <c r="V18" s="21">
        <f>((V17*$B$189)/'Emission Factors and Constants'!$A$13)+U18</f>
        <v>8091720.1839401219</v>
      </c>
      <c r="W18" s="21">
        <f>((W17*$B$189)/'Emission Factors and Constants'!$A$13)+V18</f>
        <v>8518937.6947154142</v>
      </c>
      <c r="X18" s="21">
        <f>((X17*$B$189)/'Emission Factors and Constants'!$A$13)+W18</f>
        <v>8948937.0413745455</v>
      </c>
      <c r="Y18" s="21">
        <f>((Y17*$B$189)/'Emission Factors and Constants'!$A$13)+X18</f>
        <v>9381736.201656606</v>
      </c>
      <c r="Z18" s="21">
        <f>((Z17*$B$189)/'Emission Factors and Constants'!$A$13)+Y18</f>
        <v>9817353.4821617715</v>
      </c>
      <c r="AA18" s="21">
        <f>((AA17*$B$189)/'Emission Factors and Constants'!$A$13)+Z18</f>
        <v>10255807.299110575</v>
      </c>
      <c r="AB18" s="21">
        <f>((AB17*$B$189)/'Emission Factors and Constants'!$A$13)+AA18</f>
        <v>10697116.06872355</v>
      </c>
      <c r="AC18" s="21">
        <f>((AC17*$B$189)/'Emission Factors and Constants'!$A$13)+AB18</f>
        <v>11141298.316841591</v>
      </c>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row>
    <row r="19" spans="1:64" s="19" customFormat="1" ht="24" x14ac:dyDescent="0.7">
      <c r="A19" s="66" t="s">
        <v>322</v>
      </c>
      <c r="B19" s="21">
        <f>(B17*$B$188)/'Emission Factors and Constants'!$A$12</f>
        <v>0</v>
      </c>
      <c r="C19" s="21">
        <f>((C17*$B$188)/'Emission Factors and Constants'!$A$12)+B19</f>
        <v>21656177.25869694</v>
      </c>
      <c r="D19" s="21">
        <f>((D17*$B$188)/'Emission Factors and Constants'!$A$12)+C19</f>
        <v>43312354.51739388</v>
      </c>
      <c r="E19" s="21">
        <f>((E17*$B$188)/'Emission Factors and Constants'!$A$12)+D19</f>
        <v>64968531.776090816</v>
      </c>
      <c r="F19" s="21">
        <f>((F17*$B$188)/'Emission Factors and Constants'!$A$12)+E19</f>
        <v>86624703.123000517</v>
      </c>
      <c r="G19" s="21">
        <f>((G17*$B$188)/'Emission Factors and Constants'!$A$12)+F19</f>
        <v>108280880.38169746</v>
      </c>
      <c r="H19" s="21">
        <f>((H17*$B$188)/'Emission Factors and Constants'!$A$12)+G19</f>
        <v>129937057.6403944</v>
      </c>
      <c r="I19" s="21">
        <f>((I17*$B$188)/'Emission Factors and Constants'!$A$12)+H19</f>
        <v>151593234.89909133</v>
      </c>
      <c r="J19" s="21">
        <f>((J17*$B$188)/'Emission Factors and Constants'!$A$12)+I19</f>
        <v>173249406.24600103</v>
      </c>
      <c r="K19" s="21">
        <f>((K17*$B$188)/'Emission Factors and Constants'!$A$12)+J19</f>
        <v>194905583.50469798</v>
      </c>
      <c r="L19" s="21">
        <f>((L17*$B$188)/'Emission Factors and Constants'!$A$12)+K19</f>
        <v>216561760.76339492</v>
      </c>
      <c r="M19" s="21">
        <f>((M17*$B$188)/'Emission Factors and Constants'!$A$12)+L19</f>
        <v>238217938.02209187</v>
      </c>
      <c r="N19" s="21">
        <f>((N17*$B$188)/'Emission Factors and Constants'!$A$12)+M19</f>
        <v>259874115.28078881</v>
      </c>
      <c r="O19" s="21">
        <f>((O17*$B$188)/'Emission Factors and Constants'!$A$12)+N19</f>
        <v>281530286.62769848</v>
      </c>
      <c r="P19" s="21">
        <f>((P17*$B$188)/'Emission Factors and Constants'!$A$12)+O19</f>
        <v>303186463.88639539</v>
      </c>
      <c r="Q19" s="21">
        <f>((Q17*$B$188)/'Emission Factors and Constants'!$A$12)+P19</f>
        <v>324842641.14509231</v>
      </c>
      <c r="R19" s="21">
        <f>((R17*$B$188)/'Emission Factors and Constants'!$A$12)+Q19</f>
        <v>346498818.40378922</v>
      </c>
      <c r="S19" s="21">
        <f>((S17*$B$188)/'Emission Factors and Constants'!$A$12)+R19</f>
        <v>368154989.75069892</v>
      </c>
      <c r="T19" s="21">
        <f>((T17*$B$188)/'Emission Factors and Constants'!$A$12)+S19</f>
        <v>390750414.03095889</v>
      </c>
      <c r="U19" s="21">
        <f>((U17*$B$188)/'Emission Factors and Constants'!$A$12)+T19</f>
        <v>413492970.8720845</v>
      </c>
      <c r="V19" s="21">
        <f>((V17*$B$188)/'Emission Factors and Constants'!$A$12)+U19</f>
        <v>436383606.16003448</v>
      </c>
      <c r="W19" s="21">
        <f>((W17*$B$188)/'Emission Factors and Constants'!$A$12)+V19</f>
        <v>459423295.33970362</v>
      </c>
      <c r="X19" s="21">
        <f>((X17*$B$188)/'Emission Factors and Constants'!$A$12)+W19</f>
        <v>482613007.94419956</v>
      </c>
      <c r="Y19" s="21">
        <f>((Y17*$B$188)/'Emission Factors and Constants'!$A$12)+X19</f>
        <v>505953713.50662988</v>
      </c>
      <c r="Z19" s="21">
        <f>((Z17*$B$188)/'Emission Factors and Constants'!$A$12)+Y19</f>
        <v>529446399.29546392</v>
      </c>
      <c r="AA19" s="21">
        <f>((AA17*$B$188)/'Emission Factors and Constants'!$A$12)+Z19</f>
        <v>553092058.49095821</v>
      </c>
      <c r="AB19" s="21">
        <f>((AB17*$B$188)/'Emission Factors and Constants'!$A$12)+AA19</f>
        <v>576891684.27336931</v>
      </c>
      <c r="AC19" s="21">
        <f>((AC17*$B$188)/'Emission Factors and Constants'!$A$12)+AB19</f>
        <v>600846275.73474109</v>
      </c>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row>
    <row r="20" spans="1:64" s="19" customFormat="1" ht="24" x14ac:dyDescent="0.7">
      <c r="A20" s="66" t="s">
        <v>338</v>
      </c>
      <c r="B20" s="21">
        <f t="shared" ref="B20:AC20" si="2">B15-B16</f>
        <v>0</v>
      </c>
      <c r="C20" s="21">
        <f t="shared" si="2"/>
        <v>366322</v>
      </c>
      <c r="D20" s="21">
        <f t="shared" si="2"/>
        <v>366322</v>
      </c>
      <c r="E20" s="21">
        <f t="shared" si="2"/>
        <v>366322</v>
      </c>
      <c r="F20" s="21">
        <f t="shared" si="2"/>
        <v>366321.89999999991</v>
      </c>
      <c r="G20" s="21">
        <f t="shared" si="2"/>
        <v>366322</v>
      </c>
      <c r="H20" s="21">
        <f t="shared" si="2"/>
        <v>366322</v>
      </c>
      <c r="I20" s="21">
        <f t="shared" si="2"/>
        <v>366322</v>
      </c>
      <c r="J20" s="21">
        <f t="shared" si="2"/>
        <v>366321.89999999991</v>
      </c>
      <c r="K20" s="21">
        <f t="shared" si="2"/>
        <v>366322</v>
      </c>
      <c r="L20" s="21">
        <f t="shared" si="2"/>
        <v>366322</v>
      </c>
      <c r="M20" s="21">
        <f t="shared" si="2"/>
        <v>366322</v>
      </c>
      <c r="N20" s="21">
        <f t="shared" si="2"/>
        <v>366322</v>
      </c>
      <c r="O20" s="21">
        <f t="shared" si="2"/>
        <v>366321.89999999991</v>
      </c>
      <c r="P20" s="21">
        <f t="shared" si="2"/>
        <v>366322</v>
      </c>
      <c r="Q20" s="21">
        <f t="shared" si="2"/>
        <v>366322</v>
      </c>
      <c r="R20" s="21">
        <f t="shared" si="2"/>
        <v>366322</v>
      </c>
      <c r="S20" s="21">
        <f t="shared" si="2"/>
        <v>366321.89999999991</v>
      </c>
      <c r="T20" s="21">
        <f t="shared" si="2"/>
        <v>382209.69999999972</v>
      </c>
      <c r="U20" s="21">
        <f t="shared" si="2"/>
        <v>384698.5</v>
      </c>
      <c r="V20" s="21">
        <f t="shared" si="2"/>
        <v>387203.29999999981</v>
      </c>
      <c r="W20" s="21">
        <f t="shared" si="2"/>
        <v>389724.60000000009</v>
      </c>
      <c r="X20" s="21">
        <f t="shared" si="2"/>
        <v>392262.29999999981</v>
      </c>
      <c r="Y20" s="21">
        <f t="shared" si="2"/>
        <v>394816.39999999991</v>
      </c>
      <c r="Z20" s="21">
        <f t="shared" si="2"/>
        <v>397387.19999999972</v>
      </c>
      <c r="AA20" s="21">
        <f t="shared" si="2"/>
        <v>399974.79999999981</v>
      </c>
      <c r="AB20" s="21">
        <f t="shared" si="2"/>
        <v>402579.19999999972</v>
      </c>
      <c r="AC20" s="21">
        <f t="shared" si="2"/>
        <v>405200.5</v>
      </c>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row>
    <row r="21" spans="1:64" s="19" customFormat="1" ht="24" x14ac:dyDescent="0.7">
      <c r="A21" s="66" t="s">
        <v>339</v>
      </c>
      <c r="B21" s="21">
        <f t="shared" ref="B21:AC21" si="3">$B$177*(B20*(1+$B$179))</f>
        <v>0</v>
      </c>
      <c r="C21" s="21">
        <f t="shared" si="3"/>
        <v>13881023.340660036</v>
      </c>
      <c r="D21" s="21">
        <f t="shared" si="3"/>
        <v>13881023.340660036</v>
      </c>
      <c r="E21" s="21">
        <f t="shared" si="3"/>
        <v>13881023.340660036</v>
      </c>
      <c r="F21" s="21">
        <f t="shared" si="3"/>
        <v>13881019.551364455</v>
      </c>
      <c r="G21" s="21">
        <f t="shared" si="3"/>
        <v>13881023.340660036</v>
      </c>
      <c r="H21" s="21">
        <f t="shared" si="3"/>
        <v>13881023.340660036</v>
      </c>
      <c r="I21" s="21">
        <f t="shared" si="3"/>
        <v>13881023.340660036</v>
      </c>
      <c r="J21" s="21">
        <f t="shared" si="3"/>
        <v>13881019.551364455</v>
      </c>
      <c r="K21" s="21">
        <f t="shared" si="3"/>
        <v>13881023.340660036</v>
      </c>
      <c r="L21" s="21">
        <f t="shared" si="3"/>
        <v>13881023.340660036</v>
      </c>
      <c r="M21" s="21">
        <f t="shared" si="3"/>
        <v>13881023.340660036</v>
      </c>
      <c r="N21" s="21">
        <f t="shared" si="3"/>
        <v>13881023.340660036</v>
      </c>
      <c r="O21" s="21">
        <f t="shared" si="3"/>
        <v>13881019.551364455</v>
      </c>
      <c r="P21" s="21">
        <f t="shared" si="3"/>
        <v>13881023.340660036</v>
      </c>
      <c r="Q21" s="21">
        <f t="shared" si="3"/>
        <v>13881023.340660036</v>
      </c>
      <c r="R21" s="21">
        <f t="shared" si="3"/>
        <v>13881023.340660036</v>
      </c>
      <c r="S21" s="21">
        <f t="shared" si="3"/>
        <v>13881019.551364455</v>
      </c>
      <c r="T21" s="21">
        <f t="shared" si="3"/>
        <v>14483055.253920503</v>
      </c>
      <c r="U21" s="21">
        <f t="shared" si="3"/>
        <v>14577363.242221065</v>
      </c>
      <c r="V21" s="21">
        <f t="shared" si="3"/>
        <v>14672277.517813804</v>
      </c>
      <c r="W21" s="21">
        <f t="shared" si="3"/>
        <v>14767817.027176632</v>
      </c>
      <c r="X21" s="21">
        <f t="shared" si="3"/>
        <v>14863977.981013937</v>
      </c>
      <c r="Y21" s="21">
        <f t="shared" si="3"/>
        <v>14960760.379325751</v>
      </c>
      <c r="Z21" s="21">
        <f t="shared" si="3"/>
        <v>15058175.589998784</v>
      </c>
      <c r="AA21" s="21">
        <f t="shared" si="3"/>
        <v>15156227.402328629</v>
      </c>
      <c r="AB21" s="21">
        <f t="shared" si="3"/>
        <v>15254915.816315267</v>
      </c>
      <c r="AC21" s="21">
        <f t="shared" si="3"/>
        <v>15354244.621254299</v>
      </c>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row>
    <row r="22" spans="1:64" s="19" customFormat="1" ht="40.799999999999997" x14ac:dyDescent="0.7">
      <c r="A22" s="66" t="s">
        <v>620</v>
      </c>
      <c r="B22" s="21">
        <f>(B21*$B$189)/'Emission Factors and Constants'!$A$13</f>
        <v>0</v>
      </c>
      <c r="C22" s="21">
        <f>((C21*$B$189)/'Emission Factors and Constants'!$A$13)+B22</f>
        <v>48862.62946508803</v>
      </c>
      <c r="D22" s="21">
        <f>((D21*$B$189)/'Emission Factors and Constants'!$A$13)+C22</f>
        <v>97725.25893017606</v>
      </c>
      <c r="E22" s="21">
        <f>((E21*$B$189)/'Emission Factors and Constants'!$A$13)+D22</f>
        <v>146587.8883952641</v>
      </c>
      <c r="F22" s="21">
        <f>((F21*$B$189)/'Emission Factors and Constants'!$A$13)+E22</f>
        <v>195450.50452164205</v>
      </c>
      <c r="G22" s="21">
        <f>((G21*$B$189)/'Emission Factors and Constants'!$A$13)+F22</f>
        <v>244313.13398673007</v>
      </c>
      <c r="H22" s="21">
        <f>((H21*$B$189)/'Emission Factors and Constants'!$A$13)+G22</f>
        <v>293175.76345181809</v>
      </c>
      <c r="I22" s="21">
        <f>((I21*$B$189)/'Emission Factors and Constants'!$A$13)+H22</f>
        <v>342038.3929169061</v>
      </c>
      <c r="J22" s="21">
        <f>((J21*$B$189)/'Emission Factors and Constants'!$A$13)+I22</f>
        <v>390901.00904328405</v>
      </c>
      <c r="K22" s="21">
        <f>((K21*$B$189)/'Emission Factors and Constants'!$A$13)+J22</f>
        <v>439763.63850837207</v>
      </c>
      <c r="L22" s="21">
        <f>((L21*$B$189)/'Emission Factors and Constants'!$A$13)+K22</f>
        <v>488626.26797346008</v>
      </c>
      <c r="M22" s="21">
        <f>((M21*$B$189)/'Emission Factors and Constants'!$A$13)+L22</f>
        <v>537488.89743854816</v>
      </c>
      <c r="N22" s="21">
        <f>((N21*$B$189)/'Emission Factors and Constants'!$A$13)+M22</f>
        <v>586351.52690363617</v>
      </c>
      <c r="O22" s="21">
        <f>((O21*$B$189)/'Emission Factors and Constants'!$A$13)+N22</f>
        <v>635214.14303001412</v>
      </c>
      <c r="P22" s="21">
        <f>((P21*$B$189)/'Emission Factors and Constants'!$A$13)+O22</f>
        <v>684076.77249510214</v>
      </c>
      <c r="Q22" s="21">
        <f>((Q21*$B$189)/'Emission Factors and Constants'!$A$13)+P22</f>
        <v>732939.40196019015</v>
      </c>
      <c r="R22" s="21">
        <f>((R21*$B$189)/'Emission Factors and Constants'!$A$13)+Q22</f>
        <v>781802.03142527817</v>
      </c>
      <c r="S22" s="21">
        <f>((S21*$B$189)/'Emission Factors and Constants'!$A$13)+R22</f>
        <v>830664.64755165612</v>
      </c>
      <c r="T22" s="21">
        <f>((T21*$B$189)/'Emission Factors and Constants'!$A$13)+S22</f>
        <v>881646.49125490745</v>
      </c>
      <c r="U22" s="21">
        <f>((U21*$B$189)/'Emission Factors and Constants'!$A$13)+T22</f>
        <v>932960.308774126</v>
      </c>
      <c r="V22" s="21">
        <f>((V21*$B$189)/'Emission Factors and Constants'!$A$13)+U22</f>
        <v>984608.23430292122</v>
      </c>
      <c r="W22" s="21">
        <f>((W21*$B$189)/'Emission Factors and Constants'!$A$13)+V22</f>
        <v>1036592.468728453</v>
      </c>
      <c r="X22" s="21">
        <f>((X21*$B$189)/'Emission Factors and Constants'!$A$13)+W22</f>
        <v>1088915.1995991711</v>
      </c>
      <c r="Y22" s="21">
        <f>((Y21*$B$189)/'Emission Factors and Constants'!$A$13)+X22</f>
        <v>1141578.6144635254</v>
      </c>
      <c r="Z22" s="21">
        <f>((Z21*$B$189)/'Emission Factors and Constants'!$A$13)+Y22</f>
        <v>1194584.9408860956</v>
      </c>
      <c r="AA22" s="21">
        <f>((AA21*$B$189)/'Emission Factors and Constants'!$A$13)+Z22</f>
        <v>1247936.4197701721</v>
      </c>
      <c r="AB22" s="21">
        <f>((AB21*$B$189)/'Emission Factors and Constants'!$A$13)+AA22</f>
        <v>1301635.2920190447</v>
      </c>
      <c r="AC22" s="21">
        <f>((AC21*$B$189)/'Emission Factors and Constants'!$A$13)+AB22</f>
        <v>1355683.8118747137</v>
      </c>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row>
    <row r="23" spans="1:64" s="19" customFormat="1" ht="40.799999999999997" x14ac:dyDescent="0.7">
      <c r="A23" s="66" t="s">
        <v>537</v>
      </c>
      <c r="B23" s="21">
        <f>(B21*$B$188)/'Emission Factors and Constants'!$A$12</f>
        <v>0</v>
      </c>
      <c r="C23" s="21">
        <f>((C21*$B$188)/'Emission Factors and Constants'!$A$12)+B23</f>
        <v>2635144.3163787066</v>
      </c>
      <c r="D23" s="21">
        <f>((D21*$B$188)/'Emission Factors and Constants'!$A$12)+C23</f>
        <v>5270288.6327574132</v>
      </c>
      <c r="E23" s="21">
        <f>((E21*$B$188)/'Emission Factors and Constants'!$A$12)+D23</f>
        <v>7905432.9491361193</v>
      </c>
      <c r="F23" s="21">
        <f>((F21*$B$188)/'Emission Factors and Constants'!$A$12)+E23</f>
        <v>10540576.546162913</v>
      </c>
      <c r="G23" s="21">
        <f>((G21*$B$188)/'Emission Factors and Constants'!$A$12)+F23</f>
        <v>13175720.86254162</v>
      </c>
      <c r="H23" s="21">
        <f>((H21*$B$188)/'Emission Factors and Constants'!$A$12)+G23</f>
        <v>15810865.178920327</v>
      </c>
      <c r="I23" s="21">
        <f>((I21*$B$188)/'Emission Factors and Constants'!$A$12)+H23</f>
        <v>18446009.495299034</v>
      </c>
      <c r="J23" s="21">
        <f>((J21*$B$188)/'Emission Factors and Constants'!$A$12)+I23</f>
        <v>21081153.092325825</v>
      </c>
      <c r="K23" s="21">
        <f>((K21*$B$188)/'Emission Factors and Constants'!$A$12)+J23</f>
        <v>23716297.40870453</v>
      </c>
      <c r="L23" s="21">
        <f>((L21*$B$188)/'Emission Factors and Constants'!$A$12)+K23</f>
        <v>26351441.725083236</v>
      </c>
      <c r="M23" s="21">
        <f>((M21*$B$188)/'Emission Factors and Constants'!$A$12)+L23</f>
        <v>28986586.041461941</v>
      </c>
      <c r="N23" s="21">
        <f>((N21*$B$188)/'Emission Factors and Constants'!$A$12)+M23</f>
        <v>31621730.357840646</v>
      </c>
      <c r="O23" s="21">
        <f>((O21*$B$188)/'Emission Factors and Constants'!$A$12)+N23</f>
        <v>34256873.954867437</v>
      </c>
      <c r="P23" s="21">
        <f>((P21*$B$188)/'Emission Factors and Constants'!$A$12)+O23</f>
        <v>36892018.271246143</v>
      </c>
      <c r="Q23" s="21">
        <f>((Q21*$B$188)/'Emission Factors and Constants'!$A$12)+P23</f>
        <v>39527162.587624848</v>
      </c>
      <c r="R23" s="21">
        <f>((R21*$B$188)/'Emission Factors and Constants'!$A$12)+Q23</f>
        <v>42162306.904003553</v>
      </c>
      <c r="S23" s="21">
        <f>((S21*$B$188)/'Emission Factors and Constants'!$A$12)+R23</f>
        <v>44797450.501030348</v>
      </c>
      <c r="T23" s="21">
        <f>((T21*$B$188)/'Emission Factors and Constants'!$A$12)+S23</f>
        <v>47546883.291361831</v>
      </c>
      <c r="U23" s="21">
        <f>((U21*$B$188)/'Emission Factors and Constants'!$A$12)+T23</f>
        <v>50314219.312115192</v>
      </c>
      <c r="V23" s="21">
        <f>((V21*$B$188)/'Emission Factors and Constants'!$A$12)+U23</f>
        <v>53099573.659596585</v>
      </c>
      <c r="W23" s="21">
        <f>((W21*$B$188)/'Emission Factors and Constants'!$A$12)+V23</f>
        <v>55903065.026871726</v>
      </c>
      <c r="X23" s="21">
        <f>((X21*$B$188)/'Emission Factors and Constants'!$A$12)+W23</f>
        <v>58724811.387654424</v>
      </c>
      <c r="Y23" s="21">
        <f>((Y21*$B$188)/'Emission Factors and Constants'!$A$12)+X23</f>
        <v>61564930.715658478</v>
      </c>
      <c r="Z23" s="21">
        <f>((Z21*$B$188)/'Emission Factors and Constants'!$A$12)+Y23</f>
        <v>64423543.142653435</v>
      </c>
      <c r="AA23" s="21">
        <f>((AA21*$B$188)/'Emission Factors and Constants'!$A$12)+Z23</f>
        <v>67300769.519760758</v>
      </c>
      <c r="AB23" s="21">
        <f>((AB21*$B$188)/'Emission Factors and Constants'!$A$12)+AA23</f>
        <v>70196730.698101908</v>
      </c>
      <c r="AC23" s="21">
        <f>((AC21*$B$188)/'Emission Factors and Constants'!$A$12)+AB23</f>
        <v>73111548.248150259</v>
      </c>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row>
    <row r="24" spans="1:64" s="13" customFormat="1" ht="24" x14ac:dyDescent="0.85">
      <c r="A24" s="495" t="s">
        <v>312</v>
      </c>
      <c r="B24" s="496"/>
      <c r="C24" s="496"/>
      <c r="D24" s="496"/>
      <c r="E24" s="496"/>
      <c r="F24" s="496"/>
      <c r="G24" s="496"/>
      <c r="H24" s="496"/>
      <c r="I24" s="496"/>
      <c r="J24" s="496"/>
      <c r="K24" s="496"/>
      <c r="L24" s="496"/>
      <c r="M24" s="496"/>
      <c r="N24" s="496"/>
      <c r="O24" s="496"/>
      <c r="P24" s="496"/>
      <c r="Q24" s="496"/>
      <c r="R24" s="496"/>
      <c r="S24" s="496"/>
      <c r="T24" s="496"/>
      <c r="U24" s="496"/>
      <c r="V24" s="496"/>
      <c r="W24" s="496"/>
      <c r="X24" s="496"/>
      <c r="Y24" s="496"/>
      <c r="Z24" s="496"/>
      <c r="AA24" s="496"/>
      <c r="AB24" s="496"/>
      <c r="AC24" s="497"/>
    </row>
    <row r="25" spans="1:64" s="13" customFormat="1" x14ac:dyDescent="0.7">
      <c r="A25" s="66" t="s">
        <v>301</v>
      </c>
      <c r="B25" s="21">
        <v>0</v>
      </c>
      <c r="C25" s="21">
        <f>('Forecast Parameters'!D48-'Forecast Parameters'!C48)</f>
        <v>3546748.3758096099</v>
      </c>
      <c r="D25" s="21">
        <f>('Forecast Parameters'!E48-'Forecast Parameters'!D48)</f>
        <v>3546748.3758096695</v>
      </c>
      <c r="E25" s="21">
        <f>('Forecast Parameters'!F48-'Forecast Parameters'!E48)</f>
        <v>3546748.3758096099</v>
      </c>
      <c r="F25" s="21">
        <f>('Forecast Parameters'!G48-'Forecast Parameters'!F48)</f>
        <v>3546748.3758097291</v>
      </c>
      <c r="G25" s="21">
        <f>('Forecast Parameters'!H48-'Forecast Parameters'!G48)</f>
        <v>3546748.3758096695</v>
      </c>
      <c r="H25" s="21">
        <f>('Forecast Parameters'!I48-'Forecast Parameters'!H48)</f>
        <v>3546748.3758096099</v>
      </c>
      <c r="I25" s="21">
        <f>('Forecast Parameters'!J48-'Forecast Parameters'!I48)</f>
        <v>3546748.3758096099</v>
      </c>
      <c r="J25" s="21">
        <f>('Forecast Parameters'!K48-'Forecast Parameters'!J48)</f>
        <v>3546748.3758095503</v>
      </c>
      <c r="K25" s="21">
        <f>('Forecast Parameters'!L48-'Forecast Parameters'!K48)</f>
        <v>3546748.3758096695</v>
      </c>
      <c r="L25" s="21">
        <f>('Forecast Parameters'!M48-'Forecast Parameters'!L48)</f>
        <v>3546748.3758096695</v>
      </c>
      <c r="M25" s="21">
        <f>('Forecast Parameters'!N48-'Forecast Parameters'!M48)</f>
        <v>3546748.3758095503</v>
      </c>
      <c r="N25" s="21">
        <f>('Forecast Parameters'!O48-'Forecast Parameters'!N48)</f>
        <v>3546748.3758097887</v>
      </c>
      <c r="O25" s="21">
        <f>('Forecast Parameters'!P48-'Forecast Parameters'!O48)</f>
        <v>3546748.3758095503</v>
      </c>
      <c r="P25" s="21">
        <f>('Forecast Parameters'!Q48-'Forecast Parameters'!P48)</f>
        <v>3546748.3758095503</v>
      </c>
      <c r="Q25" s="21">
        <f>('Forecast Parameters'!R48-'Forecast Parameters'!Q48)</f>
        <v>3546748.3758097887</v>
      </c>
      <c r="R25" s="21">
        <f>('Forecast Parameters'!S48-'Forecast Parameters'!R48)</f>
        <v>3546748.3758095503</v>
      </c>
      <c r="S25" s="21">
        <f>('Forecast Parameters'!T48-'Forecast Parameters'!S48)</f>
        <v>3546748.3758095503</v>
      </c>
      <c r="T25" s="21">
        <f>('Forecast Parameters'!U48-'Forecast Parameters'!T48)</f>
        <v>3697522.8675824404</v>
      </c>
      <c r="U25" s="21">
        <f>('Forecast Parameters'!V48-'Forecast Parameters'!U48)</f>
        <v>3721356.4998061657</v>
      </c>
      <c r="V25" s="21">
        <f>('Forecast Parameters'!W48-'Forecast Parameters'!V48)</f>
        <v>3745343.7597544193</v>
      </c>
      <c r="W25" s="21">
        <f>('Forecast Parameters'!X48-'Forecast Parameters'!W48)</f>
        <v>3769485.6376869678</v>
      </c>
      <c r="X25" s="21">
        <f>('Forecast Parameters'!Y48-'Forecast Parameters'!X48)</f>
        <v>3793783.1302458048</v>
      </c>
      <c r="Y25" s="21">
        <f>('Forecast Parameters'!Z48-'Forecast Parameters'!Y48)</f>
        <v>3818237.2404975891</v>
      </c>
      <c r="Z25" s="21">
        <f>('Forecast Parameters'!AA48-'Forecast Parameters'!Z48)</f>
        <v>3842848.9779750109</v>
      </c>
      <c r="AA25" s="21">
        <f>('Forecast Parameters'!AB48-'Forecast Parameters'!AA48)</f>
        <v>3867619.3587168455</v>
      </c>
      <c r="AB25" s="21">
        <f>('Forecast Parameters'!AC48-'Forecast Parameters'!AB48)</f>
        <v>3892549.4053125381</v>
      </c>
      <c r="AC25" s="21">
        <f>('Forecast Parameters'!AD48-'Forecast Parameters'!AC48)</f>
        <v>3917640.1469419003</v>
      </c>
    </row>
    <row r="26" spans="1:64" s="156" customFormat="1" x14ac:dyDescent="0.7">
      <c r="A26" s="66" t="s">
        <v>336</v>
      </c>
      <c r="B26" s="21">
        <v>0</v>
      </c>
      <c r="C26" s="21">
        <f>C25*$B$174</f>
        <v>3192073.5382286492</v>
      </c>
      <c r="D26" s="21">
        <f>('Forecast Parameters'!E48-'Forecast Parameters'!D48)*$B$174</f>
        <v>3192073.5382287027</v>
      </c>
      <c r="E26" s="21">
        <f>('Forecast Parameters'!F48-'Forecast Parameters'!E48)*$B$174</f>
        <v>3192073.5382286492</v>
      </c>
      <c r="F26" s="21">
        <f>('Forecast Parameters'!G48-'Forecast Parameters'!F48)*$B$174</f>
        <v>3192073.5382287563</v>
      </c>
      <c r="G26" s="21">
        <f>('Forecast Parameters'!H48-'Forecast Parameters'!G48)*$B$174</f>
        <v>3192073.5382287027</v>
      </c>
      <c r="H26" s="21">
        <f>('Forecast Parameters'!I48-'Forecast Parameters'!H48)*$B$174</f>
        <v>3192073.5382286492</v>
      </c>
      <c r="I26" s="21">
        <f>('Forecast Parameters'!J48-'Forecast Parameters'!I48)*$B$174</f>
        <v>3192073.5382286492</v>
      </c>
      <c r="J26" s="21">
        <f>('Forecast Parameters'!K48-'Forecast Parameters'!J48)*$B$174</f>
        <v>3192073.5382285952</v>
      </c>
      <c r="K26" s="21">
        <f>('Forecast Parameters'!L48-'Forecast Parameters'!K48)*$B$174</f>
        <v>3192073.5382287027</v>
      </c>
      <c r="L26" s="21">
        <f>('Forecast Parameters'!M48-'Forecast Parameters'!L48)*$B$174</f>
        <v>3192073.5382287027</v>
      </c>
      <c r="M26" s="21">
        <f>('Forecast Parameters'!N48-'Forecast Parameters'!M48)*$B$174</f>
        <v>3192073.5382285952</v>
      </c>
      <c r="N26" s="21">
        <f>('Forecast Parameters'!O48-'Forecast Parameters'!N48)*$B$174</f>
        <v>3192073.5382288098</v>
      </c>
      <c r="O26" s="21">
        <f>('Forecast Parameters'!P48-'Forecast Parameters'!O48)*$B$174</f>
        <v>3192073.5382285952</v>
      </c>
      <c r="P26" s="21">
        <f>('Forecast Parameters'!Q48-'Forecast Parameters'!P48)*$B$174</f>
        <v>3192073.5382285952</v>
      </c>
      <c r="Q26" s="21">
        <f>('Forecast Parameters'!R48-'Forecast Parameters'!Q48)*$B$174</f>
        <v>3192073.5382288098</v>
      </c>
      <c r="R26" s="21">
        <f>('Forecast Parameters'!S48-'Forecast Parameters'!R48)*$B$174</f>
        <v>3192073.5382285952</v>
      </c>
      <c r="S26" s="21">
        <f>('Forecast Parameters'!T48-'Forecast Parameters'!S48)*$B$174</f>
        <v>3192073.5382285952</v>
      </c>
      <c r="T26" s="21">
        <f>('Forecast Parameters'!U48-'Forecast Parameters'!T48)*$B$174</f>
        <v>3327770.5808241963</v>
      </c>
      <c r="U26" s="21">
        <f>('Forecast Parameters'!V48-'Forecast Parameters'!U48)*$B$174</f>
        <v>3349220.8498255494</v>
      </c>
      <c r="V26" s="21">
        <f>('Forecast Parameters'!W48-'Forecast Parameters'!V48)*$B$174</f>
        <v>3370809.3837789777</v>
      </c>
      <c r="W26" s="21">
        <f>('Forecast Parameters'!X48-'Forecast Parameters'!W48)*$B$174</f>
        <v>3392537.0739182713</v>
      </c>
      <c r="X26" s="21">
        <f>('Forecast Parameters'!Y48-'Forecast Parameters'!X48)*$B$174</f>
        <v>3414404.8172212243</v>
      </c>
      <c r="Y26" s="21">
        <f>('Forecast Parameters'!Z48-'Forecast Parameters'!Y48)*$B$174</f>
        <v>3436413.5164478305</v>
      </c>
      <c r="Z26" s="21">
        <f>('Forecast Parameters'!AA48-'Forecast Parameters'!Z48)*$B$174</f>
        <v>3458564.0801775097</v>
      </c>
      <c r="AA26" s="21">
        <f>('Forecast Parameters'!AB48-'Forecast Parameters'!AA48)*$B$174</f>
        <v>3480857.4228451611</v>
      </c>
      <c r="AB26" s="21">
        <f>('Forecast Parameters'!AC48-'Forecast Parameters'!AB48)*$B$174</f>
        <v>3503294.4647812843</v>
      </c>
      <c r="AC26" s="21">
        <f>('Forecast Parameters'!AD48-'Forecast Parameters'!AC48)*$B$174</f>
        <v>3525876.1322477101</v>
      </c>
      <c r="AD26" s="155"/>
      <c r="AE26" s="155"/>
      <c r="AF26" s="155"/>
      <c r="AG26" s="155"/>
      <c r="AH26" s="155"/>
      <c r="AI26" s="155"/>
      <c r="AJ26" s="155"/>
      <c r="AK26" s="155"/>
      <c r="AL26" s="155"/>
      <c r="AM26" s="155"/>
      <c r="AN26" s="155"/>
      <c r="AO26" s="155"/>
      <c r="AP26" s="155"/>
      <c r="AQ26" s="155"/>
      <c r="AR26" s="155"/>
      <c r="AS26" s="155"/>
      <c r="AT26" s="155"/>
      <c r="AU26" s="155"/>
      <c r="AV26" s="155"/>
      <c r="AW26" s="155"/>
      <c r="AX26" s="155"/>
      <c r="AY26" s="155"/>
      <c r="AZ26" s="155"/>
      <c r="BA26" s="155"/>
      <c r="BB26" s="155"/>
      <c r="BC26" s="155"/>
      <c r="BD26" s="155"/>
      <c r="BE26" s="155"/>
      <c r="BF26" s="155"/>
      <c r="BG26" s="155"/>
      <c r="BH26" s="155"/>
      <c r="BI26" s="155"/>
      <c r="BJ26" s="155"/>
      <c r="BK26" s="155"/>
      <c r="BL26" s="155"/>
    </row>
    <row r="27" spans="1:64" s="156" customFormat="1" ht="20.25" customHeight="1" x14ac:dyDescent="0.7">
      <c r="A27" s="66" t="s">
        <v>698</v>
      </c>
      <c r="B27" s="21">
        <f t="shared" ref="B27:AC27" si="4">$B$178*B26</f>
        <v>0</v>
      </c>
      <c r="C27" s="21">
        <f t="shared" si="4"/>
        <v>154077153.81855968</v>
      </c>
      <c r="D27" s="21">
        <f t="shared" si="4"/>
        <v>154077153.81856227</v>
      </c>
      <c r="E27" s="21">
        <f t="shared" si="4"/>
        <v>154077153.81855968</v>
      </c>
      <c r="F27" s="21">
        <f t="shared" si="4"/>
        <v>154077153.81856486</v>
      </c>
      <c r="G27" s="21">
        <f t="shared" si="4"/>
        <v>154077153.81856227</v>
      </c>
      <c r="H27" s="21">
        <f t="shared" si="4"/>
        <v>154077153.81855968</v>
      </c>
      <c r="I27" s="21">
        <f t="shared" si="4"/>
        <v>154077153.81855968</v>
      </c>
      <c r="J27" s="21">
        <f t="shared" si="4"/>
        <v>154077153.81855708</v>
      </c>
      <c r="K27" s="21">
        <f t="shared" si="4"/>
        <v>154077153.81856227</v>
      </c>
      <c r="L27" s="21">
        <f t="shared" si="4"/>
        <v>154077153.81856227</v>
      </c>
      <c r="M27" s="21">
        <f t="shared" si="4"/>
        <v>154077153.81855708</v>
      </c>
      <c r="N27" s="21">
        <f t="shared" si="4"/>
        <v>154077153.81856743</v>
      </c>
      <c r="O27" s="21">
        <f t="shared" si="4"/>
        <v>154077153.81855708</v>
      </c>
      <c r="P27" s="21">
        <f t="shared" si="4"/>
        <v>154077153.81855708</v>
      </c>
      <c r="Q27" s="21">
        <f t="shared" si="4"/>
        <v>154077153.81856743</v>
      </c>
      <c r="R27" s="21">
        <f t="shared" si="4"/>
        <v>154077153.81855708</v>
      </c>
      <c r="S27" s="21">
        <f t="shared" si="4"/>
        <v>154077153.81855708</v>
      </c>
      <c r="T27" s="21">
        <f t="shared" si="4"/>
        <v>160627069.99508986</v>
      </c>
      <c r="U27" s="21">
        <f t="shared" si="4"/>
        <v>161662446.01534438</v>
      </c>
      <c r="V27" s="21">
        <f t="shared" si="4"/>
        <v>162704495.90135843</v>
      </c>
      <c r="W27" s="21">
        <f t="shared" si="4"/>
        <v>163753262.67180434</v>
      </c>
      <c r="X27" s="21">
        <f t="shared" si="4"/>
        <v>164808789.62261</v>
      </c>
      <c r="Y27" s="21">
        <f t="shared" si="4"/>
        <v>165871120.32880229</v>
      </c>
      <c r="Z27" s="21">
        <f t="shared" si="4"/>
        <v>166940298.64630419</v>
      </c>
      <c r="AA27" s="21">
        <f t="shared" si="4"/>
        <v>168016368.71367475</v>
      </c>
      <c r="AB27" s="21">
        <f t="shared" si="4"/>
        <v>169099374.95404601</v>
      </c>
      <c r="AC27" s="21">
        <f t="shared" si="4"/>
        <v>170189362.07684731</v>
      </c>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5"/>
      <c r="BB27" s="155"/>
      <c r="BC27" s="155"/>
      <c r="BD27" s="155"/>
      <c r="BE27" s="155"/>
      <c r="BF27" s="155"/>
      <c r="BG27" s="155"/>
      <c r="BH27" s="155"/>
      <c r="BI27" s="155"/>
      <c r="BJ27" s="155"/>
      <c r="BK27" s="155"/>
      <c r="BL27" s="155"/>
    </row>
    <row r="28" spans="1:64" s="156" customFormat="1" ht="20.25" customHeight="1" x14ac:dyDescent="0.7">
      <c r="A28" s="66" t="s">
        <v>619</v>
      </c>
      <c r="B28" s="21">
        <f>(B27*$B$191)/'Emission Factors and Constants'!$A$13</f>
        <v>0</v>
      </c>
      <c r="C28" s="21">
        <f>((C27*$B$191)/'Emission Factors and Constants'!$A$13)+B28</f>
        <v>483704.64342136541</v>
      </c>
      <c r="D28" s="21">
        <f>((D27*$B$191)/'Emission Factors and Constants'!$A$13)+C28</f>
        <v>967409.28684273898</v>
      </c>
      <c r="E28" s="21">
        <f>((E27*$B$191)/'Emission Factors and Constants'!$A$13)+D28</f>
        <v>1451113.9302641044</v>
      </c>
      <c r="F28" s="21">
        <f>((F27*$B$191)/'Emission Factors and Constants'!$A$13)+E28</f>
        <v>1934818.5736854861</v>
      </c>
      <c r="G28" s="21">
        <f>((G27*$B$191)/'Emission Factors and Constants'!$A$13)+F28</f>
        <v>2418523.2171068597</v>
      </c>
      <c r="H28" s="21">
        <f>((H27*$B$191)/'Emission Factors and Constants'!$A$13)+G28</f>
        <v>2902227.8605282251</v>
      </c>
      <c r="I28" s="21">
        <f>((I27*$B$191)/'Emission Factors and Constants'!$A$13)+H28</f>
        <v>3385932.5039495905</v>
      </c>
      <c r="J28" s="21">
        <f>((J27*$B$191)/'Emission Factors and Constants'!$A$13)+I28</f>
        <v>3869637.1473709475</v>
      </c>
      <c r="K28" s="21">
        <f>((K27*$B$191)/'Emission Factors and Constants'!$A$13)+J28</f>
        <v>4353341.7907923209</v>
      </c>
      <c r="L28" s="21">
        <f>((L27*$B$191)/'Emission Factors and Constants'!$A$13)+K28</f>
        <v>4837046.4342136942</v>
      </c>
      <c r="M28" s="21">
        <f>((M27*$B$191)/'Emission Factors and Constants'!$A$13)+L28</f>
        <v>5320751.0776350517</v>
      </c>
      <c r="N28" s="21">
        <f>((N27*$B$191)/'Emission Factors and Constants'!$A$13)+M28</f>
        <v>5804455.7210564418</v>
      </c>
      <c r="O28" s="21">
        <f>((O27*$B$191)/'Emission Factors and Constants'!$A$13)+N28</f>
        <v>6288160.3644777993</v>
      </c>
      <c r="P28" s="21">
        <f>((P27*$B$191)/'Emission Factors and Constants'!$A$13)+O28</f>
        <v>6771865.0078991568</v>
      </c>
      <c r="Q28" s="21">
        <f>((Q27*$B$191)/'Emission Factors and Constants'!$A$13)+P28</f>
        <v>7255569.6513205469</v>
      </c>
      <c r="R28" s="21">
        <f>((R27*$B$191)/'Emission Factors and Constants'!$A$13)+Q28</f>
        <v>7739274.2947419044</v>
      </c>
      <c r="S28" s="21">
        <f>((S27*$B$191)/'Emission Factors and Constants'!$A$13)+R28</f>
        <v>8222978.9381632619</v>
      </c>
      <c r="T28" s="21">
        <f>((T27*$B$191)/'Emission Factors and Constants'!$A$13)+S28</f>
        <v>8727246.1685100012</v>
      </c>
      <c r="U28" s="21">
        <f>((U27*$B$191)/'Emission Factors and Constants'!$A$13)+T28</f>
        <v>9234763.8235710636</v>
      </c>
      <c r="V28" s="21">
        <f>((V27*$B$191)/'Emission Factors and Constants'!$A$13)+U28</f>
        <v>9745552.8550565317</v>
      </c>
      <c r="W28" s="21">
        <f>((W27*$B$191)/'Emission Factors and Constants'!$A$13)+V28</f>
        <v>10259634.349727867</v>
      </c>
      <c r="X28" s="21">
        <f>((X27*$B$191)/'Emission Factors and Constants'!$A$13)+W28</f>
        <v>10777029.530268312</v>
      </c>
      <c r="Y28" s="21">
        <f>((Y27*$B$191)/'Emission Factors and Constants'!$A$13)+X28</f>
        <v>11297759.756159082</v>
      </c>
      <c r="Z28" s="21">
        <f>((Z27*$B$191)/'Emission Factors and Constants'!$A$13)+Y28</f>
        <v>11821846.524561211</v>
      </c>
      <c r="AA28" s="21">
        <f>((AA27*$B$191)/'Emission Factors and Constants'!$A$13)+Z28</f>
        <v>12349311.471202841</v>
      </c>
      <c r="AB28" s="21">
        <f>((AB27*$B$191)/'Emission Factors and Constants'!$A$13)+AA28</f>
        <v>12880176.371272599</v>
      </c>
      <c r="AC28" s="21">
        <f>((AC27*$B$191)/'Emission Factors and Constants'!$A$13)+AB28</f>
        <v>13414463.140318399</v>
      </c>
      <c r="AD28" s="155"/>
      <c r="AE28" s="155"/>
      <c r="AF28" s="155"/>
      <c r="AG28" s="155"/>
      <c r="AH28" s="155"/>
      <c r="AI28" s="155"/>
      <c r="AJ28" s="155"/>
      <c r="AK28" s="155"/>
      <c r="AL28" s="155"/>
      <c r="AM28" s="155"/>
      <c r="AN28" s="155"/>
      <c r="AO28" s="155"/>
      <c r="AP28" s="155"/>
      <c r="AQ28" s="155"/>
      <c r="AR28" s="155"/>
      <c r="AS28" s="155"/>
      <c r="AT28" s="155"/>
      <c r="AU28" s="155"/>
      <c r="AV28" s="155"/>
      <c r="AW28" s="155"/>
      <c r="AX28" s="155"/>
      <c r="AY28" s="155"/>
      <c r="AZ28" s="155"/>
      <c r="BA28" s="155"/>
      <c r="BB28" s="155"/>
      <c r="BC28" s="155"/>
      <c r="BD28" s="155"/>
      <c r="BE28" s="155"/>
      <c r="BF28" s="155"/>
      <c r="BG28" s="155"/>
      <c r="BH28" s="155"/>
      <c r="BI28" s="155"/>
      <c r="BJ28" s="155"/>
      <c r="BK28" s="155"/>
      <c r="BL28" s="155"/>
    </row>
    <row r="29" spans="1:64" s="156" customFormat="1" ht="20.25" customHeight="1" x14ac:dyDescent="0.7">
      <c r="A29" s="66" t="s">
        <v>322</v>
      </c>
      <c r="B29" s="21">
        <f>(B27*$B$190)/'Emission Factors and Constants'!$A$12</f>
        <v>0</v>
      </c>
      <c r="C29" s="21">
        <f>((C27*$B$190)/'Emission Factors and Constants'!$A$12)+B29</f>
        <v>30970071.370216694</v>
      </c>
      <c r="D29" s="21">
        <f>((D27*$B$190)/'Emission Factors and Constants'!$A$12)+C29</f>
        <v>61940142.740433916</v>
      </c>
      <c r="E29" s="21">
        <f>((E27*$B$190)/'Emission Factors and Constants'!$A$12)+D29</f>
        <v>92910214.110650614</v>
      </c>
      <c r="F29" s="21">
        <f>((F27*$B$190)/'Emission Factors and Constants'!$A$12)+E29</f>
        <v>123880285.48086835</v>
      </c>
      <c r="G29" s="21">
        <f>((G27*$B$190)/'Emission Factors and Constants'!$A$12)+F29</f>
        <v>154850356.85108557</v>
      </c>
      <c r="H29" s="21">
        <f>((H27*$B$190)/'Emission Factors and Constants'!$A$12)+G29</f>
        <v>185820428.22130227</v>
      </c>
      <c r="I29" s="21">
        <f>((I27*$B$190)/'Emission Factors and Constants'!$A$12)+H29</f>
        <v>216790499.59151897</v>
      </c>
      <c r="J29" s="21">
        <f>((J27*$B$190)/'Emission Factors and Constants'!$A$12)+I29</f>
        <v>247760570.96173513</v>
      </c>
      <c r="K29" s="21">
        <f>((K27*$B$190)/'Emission Factors and Constants'!$A$12)+J29</f>
        <v>278730642.33195233</v>
      </c>
      <c r="L29" s="21">
        <f>((L27*$B$190)/'Emission Factors and Constants'!$A$12)+K29</f>
        <v>309700713.70216954</v>
      </c>
      <c r="M29" s="21">
        <f>((M27*$B$190)/'Emission Factors and Constants'!$A$12)+L29</f>
        <v>340670785.07238573</v>
      </c>
      <c r="N29" s="21">
        <f>((N27*$B$190)/'Emission Factors and Constants'!$A$12)+M29</f>
        <v>371640856.44260401</v>
      </c>
      <c r="O29" s="21">
        <f>((O27*$B$190)/'Emission Factors and Constants'!$A$12)+N29</f>
        <v>402610927.8128202</v>
      </c>
      <c r="P29" s="21">
        <f>((P27*$B$190)/'Emission Factors and Constants'!$A$12)+O29</f>
        <v>433580999.18303639</v>
      </c>
      <c r="Q29" s="21">
        <f>((Q27*$B$190)/'Emission Factors and Constants'!$A$12)+P29</f>
        <v>464551070.55325466</v>
      </c>
      <c r="R29" s="21">
        <f>((R27*$B$190)/'Emission Factors and Constants'!$A$12)+Q29</f>
        <v>495521141.92347085</v>
      </c>
      <c r="S29" s="21">
        <f>((S27*$B$190)/'Emission Factors and Constants'!$A$12)+R29</f>
        <v>526491213.29368705</v>
      </c>
      <c r="T29" s="21">
        <f>((T27*$B$190)/'Emission Factors and Constants'!$A$12)+S29</f>
        <v>558777841.76811242</v>
      </c>
      <c r="U29" s="21">
        <f>((U27*$B$190)/'Emission Factors and Constants'!$A$12)+T29</f>
        <v>591272584.60892892</v>
      </c>
      <c r="V29" s="21">
        <f>((V27*$B$190)/'Emission Factors and Constants'!$A$12)+U29</f>
        <v>623976783.28756011</v>
      </c>
      <c r="W29" s="21">
        <f>((W27*$B$190)/'Emission Factors and Constants'!$A$12)+V29</f>
        <v>656891787.92234027</v>
      </c>
      <c r="X29" s="21">
        <f>((X27*$B$190)/'Emission Factors and Constants'!$A$12)+W29</f>
        <v>690018957.3342433</v>
      </c>
      <c r="Y29" s="21">
        <f>((Y27*$B$190)/'Emission Factors and Constants'!$A$12)+X29</f>
        <v>723359659.10298288</v>
      </c>
      <c r="Z29" s="21">
        <f>((Z27*$B$190)/'Emission Factors and Constants'!$A$12)+Y29</f>
        <v>756915269.62347364</v>
      </c>
      <c r="AA29" s="21">
        <f>((AA27*$B$190)/'Emission Factors and Constants'!$A$12)+Z29</f>
        <v>790687174.162642</v>
      </c>
      <c r="AB29" s="21">
        <f>((AB27*$B$190)/'Emission Factors and Constants'!$A$12)+AA29</f>
        <v>824676766.91662633</v>
      </c>
      <c r="AC29" s="21">
        <f>((AC27*$B$190)/'Emission Factors and Constants'!$A$12)+AB29</f>
        <v>858885451.06832373</v>
      </c>
      <c r="AD29" s="155"/>
      <c r="AE29" s="155"/>
      <c r="AF29" s="155"/>
      <c r="AG29" s="155"/>
      <c r="AH29" s="155"/>
      <c r="AI29" s="155"/>
      <c r="AJ29" s="155"/>
      <c r="AK29" s="155"/>
      <c r="AL29" s="155"/>
      <c r="AM29" s="155"/>
      <c r="AN29" s="155"/>
      <c r="AO29" s="155"/>
      <c r="AP29" s="155"/>
      <c r="AQ29" s="155"/>
      <c r="AR29" s="155"/>
      <c r="AS29" s="155"/>
      <c r="AT29" s="155"/>
      <c r="AU29" s="155"/>
      <c r="AV29" s="155"/>
      <c r="AW29" s="155"/>
      <c r="AX29" s="155"/>
      <c r="AY29" s="155"/>
      <c r="AZ29" s="155"/>
      <c r="BA29" s="155"/>
      <c r="BB29" s="155"/>
      <c r="BC29" s="155"/>
      <c r="BD29" s="155"/>
      <c r="BE29" s="155"/>
      <c r="BF29" s="155"/>
      <c r="BG29" s="155"/>
      <c r="BH29" s="155"/>
      <c r="BI29" s="155"/>
      <c r="BJ29" s="155"/>
      <c r="BK29" s="155"/>
      <c r="BL29" s="155"/>
    </row>
    <row r="30" spans="1:64" s="156" customFormat="1" ht="20.25" customHeight="1" x14ac:dyDescent="0.7">
      <c r="A30" s="66" t="s">
        <v>338</v>
      </c>
      <c r="B30" s="21">
        <f>B25-B26</f>
        <v>0</v>
      </c>
      <c r="C30" s="21">
        <f t="shared" ref="C30:AC30" si="5">C25-C26</f>
        <v>354674.83758096071</v>
      </c>
      <c r="D30" s="21">
        <f t="shared" si="5"/>
        <v>354674.83758096676</v>
      </c>
      <c r="E30" s="21">
        <f t="shared" si="5"/>
        <v>354674.83758096071</v>
      </c>
      <c r="F30" s="21">
        <f t="shared" si="5"/>
        <v>354674.83758097282</v>
      </c>
      <c r="G30" s="21">
        <f t="shared" si="5"/>
        <v>354674.83758096676</v>
      </c>
      <c r="H30" s="21">
        <f t="shared" si="5"/>
        <v>354674.83758096071</v>
      </c>
      <c r="I30" s="21">
        <f t="shared" si="5"/>
        <v>354674.83758096071</v>
      </c>
      <c r="J30" s="21">
        <f t="shared" si="5"/>
        <v>354674.83758095512</v>
      </c>
      <c r="K30" s="21">
        <f t="shared" si="5"/>
        <v>354674.83758096676</v>
      </c>
      <c r="L30" s="21">
        <f t="shared" si="5"/>
        <v>354674.83758096676</v>
      </c>
      <c r="M30" s="21">
        <f t="shared" si="5"/>
        <v>354674.83758095512</v>
      </c>
      <c r="N30" s="21">
        <f t="shared" si="5"/>
        <v>354674.83758097887</v>
      </c>
      <c r="O30" s="21">
        <f t="shared" si="5"/>
        <v>354674.83758095512</v>
      </c>
      <c r="P30" s="21">
        <f t="shared" si="5"/>
        <v>354674.83758095512</v>
      </c>
      <c r="Q30" s="21">
        <f t="shared" si="5"/>
        <v>354674.83758097887</v>
      </c>
      <c r="R30" s="21">
        <f t="shared" si="5"/>
        <v>354674.83758095512</v>
      </c>
      <c r="S30" s="21">
        <f t="shared" si="5"/>
        <v>354674.83758095512</v>
      </c>
      <c r="T30" s="21">
        <f t="shared" si="5"/>
        <v>369752.28675824404</v>
      </c>
      <c r="U30" s="21">
        <f t="shared" si="5"/>
        <v>372135.64998061629</v>
      </c>
      <c r="V30" s="21">
        <f t="shared" si="5"/>
        <v>374534.37597544165</v>
      </c>
      <c r="W30" s="21">
        <f t="shared" si="5"/>
        <v>376948.56376869651</v>
      </c>
      <c r="X30" s="21">
        <f t="shared" si="5"/>
        <v>379378.31302458048</v>
      </c>
      <c r="Y30" s="21">
        <f t="shared" si="5"/>
        <v>381823.72404975863</v>
      </c>
      <c r="Z30" s="21">
        <f t="shared" si="5"/>
        <v>384284.89779750118</v>
      </c>
      <c r="AA30" s="21">
        <f t="shared" si="5"/>
        <v>386761.93587168446</v>
      </c>
      <c r="AB30" s="21">
        <f t="shared" si="5"/>
        <v>389254.94053125381</v>
      </c>
      <c r="AC30" s="21">
        <f t="shared" si="5"/>
        <v>391764.01469419012</v>
      </c>
      <c r="AD30" s="155"/>
      <c r="AE30" s="155"/>
      <c r="AF30" s="155"/>
      <c r="AG30" s="155"/>
      <c r="AH30" s="155"/>
      <c r="AI30" s="155"/>
      <c r="AJ30" s="155"/>
      <c r="AK30" s="155"/>
      <c r="AL30" s="155"/>
      <c r="AM30" s="155"/>
      <c r="AN30" s="155"/>
      <c r="AO30" s="155"/>
      <c r="AP30" s="155"/>
      <c r="AQ30" s="155"/>
      <c r="AR30" s="155"/>
      <c r="AS30" s="155"/>
      <c r="AT30" s="155"/>
      <c r="AU30" s="155"/>
      <c r="AV30" s="155"/>
      <c r="AW30" s="155"/>
      <c r="AX30" s="155"/>
      <c r="AY30" s="155"/>
      <c r="AZ30" s="155"/>
      <c r="BA30" s="155"/>
      <c r="BB30" s="155"/>
      <c r="BC30" s="155"/>
      <c r="BD30" s="155"/>
      <c r="BE30" s="155"/>
      <c r="BF30" s="155"/>
      <c r="BG30" s="155"/>
      <c r="BH30" s="155"/>
      <c r="BI30" s="155"/>
      <c r="BJ30" s="155"/>
      <c r="BK30" s="155"/>
      <c r="BL30" s="155"/>
    </row>
    <row r="31" spans="1:64" s="156" customFormat="1" ht="20.25" customHeight="1" x14ac:dyDescent="0.7">
      <c r="A31" s="66" t="s">
        <v>339</v>
      </c>
      <c r="B31" s="21">
        <f t="shared" ref="B31:AC31" si="6">B30*($B$178*(1+$B$180))</f>
        <v>0</v>
      </c>
      <c r="C31" s="21">
        <f t="shared" si="6"/>
        <v>18819895.532424465</v>
      </c>
      <c r="D31" s="21">
        <f t="shared" si="6"/>
        <v>18819895.532424785</v>
      </c>
      <c r="E31" s="21">
        <f t="shared" si="6"/>
        <v>18819895.532424465</v>
      </c>
      <c r="F31" s="21">
        <f t="shared" si="6"/>
        <v>18819895.532425109</v>
      </c>
      <c r="G31" s="21">
        <f t="shared" si="6"/>
        <v>18819895.532424785</v>
      </c>
      <c r="H31" s="21">
        <f t="shared" si="6"/>
        <v>18819895.532424465</v>
      </c>
      <c r="I31" s="21">
        <f t="shared" si="6"/>
        <v>18819895.532424465</v>
      </c>
      <c r="J31" s="21">
        <f t="shared" si="6"/>
        <v>18819895.532424167</v>
      </c>
      <c r="K31" s="21">
        <f t="shared" si="6"/>
        <v>18819895.532424785</v>
      </c>
      <c r="L31" s="21">
        <f t="shared" si="6"/>
        <v>18819895.532424785</v>
      </c>
      <c r="M31" s="21">
        <f t="shared" si="6"/>
        <v>18819895.532424167</v>
      </c>
      <c r="N31" s="21">
        <f t="shared" si="6"/>
        <v>18819895.53242543</v>
      </c>
      <c r="O31" s="21">
        <f t="shared" si="6"/>
        <v>18819895.532424167</v>
      </c>
      <c r="P31" s="21">
        <f t="shared" si="6"/>
        <v>18819895.532424167</v>
      </c>
      <c r="Q31" s="21">
        <f t="shared" si="6"/>
        <v>18819895.53242543</v>
      </c>
      <c r="R31" s="21">
        <f t="shared" si="6"/>
        <v>18819895.532424167</v>
      </c>
      <c r="S31" s="21">
        <f t="shared" si="6"/>
        <v>18819895.532424167</v>
      </c>
      <c r="T31" s="21">
        <f t="shared" si="6"/>
        <v>19619941.062429506</v>
      </c>
      <c r="U31" s="21">
        <f t="shared" si="6"/>
        <v>19746408.017815448</v>
      </c>
      <c r="V31" s="21">
        <f t="shared" si="6"/>
        <v>19873690.158667125</v>
      </c>
      <c r="W31" s="21">
        <f t="shared" si="6"/>
        <v>20001792.73953978</v>
      </c>
      <c r="X31" s="21">
        <f t="shared" si="6"/>
        <v>20130721.048854318</v>
      </c>
      <c r="Y31" s="21">
        <f t="shared" si="6"/>
        <v>20260480.409122404</v>
      </c>
      <c r="Z31" s="21">
        <f t="shared" si="6"/>
        <v>20391076.177166104</v>
      </c>
      <c r="AA31" s="21">
        <f t="shared" si="6"/>
        <v>20522513.744330212</v>
      </c>
      <c r="AB31" s="21">
        <f t="shared" si="6"/>
        <v>20654798.53671905</v>
      </c>
      <c r="AC31" s="21">
        <f t="shared" si="6"/>
        <v>20787936.015406944</v>
      </c>
      <c r="AD31" s="155"/>
      <c r="AE31" s="155"/>
      <c r="AF31" s="155"/>
      <c r="AG31" s="155"/>
      <c r="AH31" s="155"/>
      <c r="AI31" s="155"/>
      <c r="AJ31" s="155"/>
      <c r="AK31" s="155"/>
      <c r="AL31" s="155"/>
      <c r="AM31" s="155"/>
      <c r="AN31" s="155"/>
      <c r="AO31" s="155"/>
      <c r="AP31" s="155"/>
      <c r="AQ31" s="155"/>
      <c r="AR31" s="155"/>
      <c r="AS31" s="155"/>
      <c r="AT31" s="155"/>
      <c r="AU31" s="155"/>
      <c r="AV31" s="155"/>
      <c r="AW31" s="155"/>
      <c r="AX31" s="155"/>
      <c r="AY31" s="155"/>
      <c r="AZ31" s="155"/>
      <c r="BA31" s="155"/>
      <c r="BB31" s="155"/>
      <c r="BC31" s="155"/>
      <c r="BD31" s="155"/>
      <c r="BE31" s="155"/>
      <c r="BF31" s="155"/>
      <c r="BG31" s="155"/>
      <c r="BH31" s="155"/>
      <c r="BI31" s="155"/>
      <c r="BJ31" s="155"/>
      <c r="BK31" s="155"/>
      <c r="BL31" s="155"/>
    </row>
    <row r="32" spans="1:64" s="156" customFormat="1" ht="35.1" customHeight="1" x14ac:dyDescent="0.7">
      <c r="A32" s="66" t="s">
        <v>620</v>
      </c>
      <c r="B32" s="21">
        <f>(B31*$B$191)/'Emission Factors and Constants'!$A$13</f>
        <v>0</v>
      </c>
      <c r="C32" s="21">
        <f>((C31*$B$191)/'Emission Factors and Constants'!$A$13)+B32</f>
        <v>59082.548139866863</v>
      </c>
      <c r="D32" s="21">
        <f>((D31*$B$191)/'Emission Factors and Constants'!$A$13)+C32</f>
        <v>118165.09627973473</v>
      </c>
      <c r="E32" s="21">
        <f>((E31*$B$191)/'Emission Factors and Constants'!$A$13)+D32</f>
        <v>177247.64441960159</v>
      </c>
      <c r="F32" s="21">
        <f>((F31*$B$191)/'Emission Factors and Constants'!$A$13)+E32</f>
        <v>236330.19255947048</v>
      </c>
      <c r="G32" s="21">
        <f>((G31*$B$191)/'Emission Factors and Constants'!$A$13)+F32</f>
        <v>295412.74069933838</v>
      </c>
      <c r="H32" s="21">
        <f>((H31*$B$191)/'Emission Factors and Constants'!$A$13)+G32</f>
        <v>354495.28883920523</v>
      </c>
      <c r="I32" s="21">
        <f>((I31*$B$191)/'Emission Factors and Constants'!$A$13)+H32</f>
        <v>413577.83697907208</v>
      </c>
      <c r="J32" s="21">
        <f>((J31*$B$191)/'Emission Factors and Constants'!$A$13)+I32</f>
        <v>472660.38511893799</v>
      </c>
      <c r="K32" s="21">
        <f>((K31*$B$191)/'Emission Factors and Constants'!$A$13)+J32</f>
        <v>531742.93325880589</v>
      </c>
      <c r="L32" s="21">
        <f>((L31*$B$191)/'Emission Factors and Constants'!$A$13)+K32</f>
        <v>590825.48139867373</v>
      </c>
      <c r="M32" s="21">
        <f>((M31*$B$191)/'Emission Factors and Constants'!$A$13)+L32</f>
        <v>649908.0295385397</v>
      </c>
      <c r="N32" s="21">
        <f>((N31*$B$191)/'Emission Factors and Constants'!$A$13)+M32</f>
        <v>708990.57767840964</v>
      </c>
      <c r="O32" s="21">
        <f>((O31*$B$191)/'Emission Factors and Constants'!$A$13)+N32</f>
        <v>768073.12581827561</v>
      </c>
      <c r="P32" s="21">
        <f>((P31*$B$191)/'Emission Factors and Constants'!$A$13)+O32</f>
        <v>827155.67395814159</v>
      </c>
      <c r="Q32" s="21">
        <f>((Q31*$B$191)/'Emission Factors and Constants'!$A$13)+P32</f>
        <v>886238.22209801152</v>
      </c>
      <c r="R32" s="21">
        <f>((R31*$B$191)/'Emission Factors and Constants'!$A$13)+Q32</f>
        <v>945320.7702378775</v>
      </c>
      <c r="S32" s="21">
        <f>((S31*$B$191)/'Emission Factors and Constants'!$A$13)+R32</f>
        <v>1004403.3183777435</v>
      </c>
      <c r="T32" s="21">
        <f>((T31*$B$191)/'Emission Factors and Constants'!$A$13)+S32</f>
        <v>1065997.5025922724</v>
      </c>
      <c r="U32" s="21">
        <f>((U31*$B$191)/'Emission Factors and Constants'!$A$13)+T32</f>
        <v>1127988.7129203002</v>
      </c>
      <c r="V32" s="21">
        <f>((V31*$B$191)/'Emission Factors and Constants'!$A$13)+U32</f>
        <v>1190379.5085277073</v>
      </c>
      <c r="W32" s="21">
        <f>((W31*$B$191)/'Emission Factors and Constants'!$A$13)+V32</f>
        <v>1253172.4650763487</v>
      </c>
      <c r="X32" s="21">
        <f>((X31*$B$191)/'Emission Factors and Constants'!$A$13)+W32</f>
        <v>1316370.1748303701</v>
      </c>
      <c r="Y32" s="21">
        <f>((Y31*$B$191)/'Emission Factors and Constants'!$A$13)+X32</f>
        <v>1379975.2467632319</v>
      </c>
      <c r="Z32" s="21">
        <f>((Z31*$B$191)/'Emission Factors and Constants'!$A$13)+Y32</f>
        <v>1443990.3066654219</v>
      </c>
      <c r="AA32" s="21">
        <f>((AA31*$B$191)/'Emission Factors and Constants'!$A$13)+Z32</f>
        <v>1508417.9972528343</v>
      </c>
      <c r="AB32" s="21">
        <f>((AB31*$B$191)/'Emission Factors and Constants'!$A$13)+AA32</f>
        <v>1573260.9782758935</v>
      </c>
      <c r="AC32" s="21">
        <f>((AC31*$B$191)/'Emission Factors and Constants'!$A$13)+AB32</f>
        <v>1638521.9266293368</v>
      </c>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5"/>
      <c r="BC32" s="155"/>
      <c r="BD32" s="155"/>
      <c r="BE32" s="155"/>
      <c r="BF32" s="155"/>
      <c r="BG32" s="155"/>
      <c r="BH32" s="155"/>
      <c r="BI32" s="155"/>
      <c r="BJ32" s="155"/>
      <c r="BK32" s="155"/>
      <c r="BL32" s="155"/>
    </row>
    <row r="33" spans="1:64" s="156" customFormat="1" ht="38.4" customHeight="1" x14ac:dyDescent="0.7">
      <c r="A33" s="66" t="s">
        <v>537</v>
      </c>
      <c r="B33" s="21">
        <f>(B31*$B$190)/'Emission Factors and Constants'!$A$12</f>
        <v>0</v>
      </c>
      <c r="C33" s="21">
        <f>((C31*$B$190)/'Emission Factors and Constants'!$A$12)+B33</f>
        <v>3782867.8254634221</v>
      </c>
      <c r="D33" s="21">
        <f>((D31*$B$190)/'Emission Factors and Constants'!$A$12)+C33</f>
        <v>7565735.6509269085</v>
      </c>
      <c r="E33" s="21">
        <f>((E31*$B$190)/'Emission Factors and Constants'!$A$12)+D33</f>
        <v>11348603.47639033</v>
      </c>
      <c r="F33" s="21">
        <f>((F31*$B$190)/'Emission Factors and Constants'!$A$12)+E33</f>
        <v>15131471.30185388</v>
      </c>
      <c r="G33" s="21">
        <f>((G31*$B$190)/'Emission Factors and Constants'!$A$12)+F33</f>
        <v>18914339.127317365</v>
      </c>
      <c r="H33" s="21">
        <f>((H31*$B$190)/'Emission Factors and Constants'!$A$12)+G33</f>
        <v>22697206.952780787</v>
      </c>
      <c r="I33" s="21">
        <f>((I31*$B$190)/'Emission Factors and Constants'!$A$12)+H33</f>
        <v>26480074.778244209</v>
      </c>
      <c r="J33" s="21">
        <f>((J31*$B$190)/'Emission Factors and Constants'!$A$12)+I33</f>
        <v>30262942.603707571</v>
      </c>
      <c r="K33" s="21">
        <f>((K31*$B$190)/'Emission Factors and Constants'!$A$12)+J33</f>
        <v>34045810.429171056</v>
      </c>
      <c r="L33" s="21">
        <f>((L31*$B$190)/'Emission Factors and Constants'!$A$12)+K33</f>
        <v>37828678.254634544</v>
      </c>
      <c r="M33" s="21">
        <f>((M31*$B$190)/'Emission Factors and Constants'!$A$12)+L33</f>
        <v>41611546.080097906</v>
      </c>
      <c r="N33" s="21">
        <f>((N31*$B$190)/'Emission Factors and Constants'!$A$12)+M33</f>
        <v>45394413.905561522</v>
      </c>
      <c r="O33" s="21">
        <f>((O31*$B$190)/'Emission Factors and Constants'!$A$12)+N33</f>
        <v>49177281.731024884</v>
      </c>
      <c r="P33" s="21">
        <f>((P31*$B$190)/'Emission Factors and Constants'!$A$12)+O33</f>
        <v>52960149.556488246</v>
      </c>
      <c r="Q33" s="21">
        <f>((Q31*$B$190)/'Emission Factors and Constants'!$A$12)+P33</f>
        <v>56743017.381951861</v>
      </c>
      <c r="R33" s="21">
        <f>((R31*$B$190)/'Emission Factors and Constants'!$A$12)+Q33</f>
        <v>60525885.207415223</v>
      </c>
      <c r="S33" s="21">
        <f>((S31*$B$190)/'Emission Factors and Constants'!$A$12)+R33</f>
        <v>64308753.032878585</v>
      </c>
      <c r="T33" s="21">
        <f>((T31*$B$190)/'Emission Factors and Constants'!$A$12)+S33</f>
        <v>68252432.935600758</v>
      </c>
      <c r="U33" s="21">
        <f>((U31*$B$190)/'Emission Factors and Constants'!$A$12)+T33</f>
        <v>72221533.158839032</v>
      </c>
      <c r="V33" s="21">
        <f>((V31*$B$190)/'Emission Factors and Constants'!$A$12)+U33</f>
        <v>76216217.557853118</v>
      </c>
      <c r="W33" s="21">
        <f>((W31*$B$190)/'Emission Factors and Constants'!$A$12)+V33</f>
        <v>80236651.044087544</v>
      </c>
      <c r="X33" s="21">
        <f>((X31*$B$190)/'Emission Factors and Constants'!$A$12)+W33</f>
        <v>84282999.591978773</v>
      </c>
      <c r="Y33" s="21">
        <f>((Y31*$B$190)/'Emission Factors and Constants'!$A$12)+X33</f>
        <v>88355430.245807573</v>
      </c>
      <c r="Z33" s="21">
        <f>((Z31*$B$190)/'Emission Factors and Constants'!$A$12)+Y33</f>
        <v>92454111.126595557</v>
      </c>
      <c r="AA33" s="21">
        <f>((AA31*$B$190)/'Emission Factors and Constants'!$A$12)+Z33</f>
        <v>96579211.439044341</v>
      </c>
      <c r="AB33" s="21">
        <f>((AB31*$B$190)/'Emission Factors and Constants'!$A$12)+AA33</f>
        <v>100730901.47852236</v>
      </c>
      <c r="AC33" s="21">
        <f>((AC31*$B$190)/'Emission Factors and Constants'!$A$12)+AB33</f>
        <v>104909352.63809395</v>
      </c>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5"/>
      <c r="BC33" s="155"/>
      <c r="BD33" s="155"/>
      <c r="BE33" s="155"/>
      <c r="BF33" s="155"/>
      <c r="BG33" s="155"/>
      <c r="BH33" s="155"/>
      <c r="BI33" s="155"/>
      <c r="BJ33" s="155"/>
      <c r="BK33" s="155"/>
      <c r="BL33" s="155"/>
    </row>
    <row r="35" spans="1:64" ht="26.4" x14ac:dyDescent="0.9">
      <c r="A35" s="493" t="s">
        <v>323</v>
      </c>
      <c r="B35" s="493"/>
      <c r="C35" s="493"/>
      <c r="D35" s="493"/>
      <c r="E35" s="493"/>
      <c r="F35" s="493"/>
      <c r="G35" s="493"/>
      <c r="H35" s="493"/>
      <c r="I35" s="493"/>
      <c r="J35" s="493"/>
      <c r="K35" s="493"/>
      <c r="L35" s="493"/>
      <c r="M35" s="493"/>
      <c r="N35" s="493"/>
      <c r="O35" s="493"/>
      <c r="P35" s="493"/>
      <c r="Q35" s="493"/>
      <c r="R35" s="493"/>
      <c r="S35" s="493"/>
      <c r="T35" s="493"/>
      <c r="U35" s="493"/>
      <c r="V35" s="493"/>
      <c r="W35" s="493"/>
      <c r="X35" s="493"/>
      <c r="Y35" s="493"/>
      <c r="Z35" s="493"/>
      <c r="AA35" s="493"/>
      <c r="AB35" s="493"/>
      <c r="AC35" s="493"/>
    </row>
    <row r="36" spans="1:64" s="13" customFormat="1" ht="24" x14ac:dyDescent="0.85">
      <c r="A36" s="494" t="s">
        <v>324</v>
      </c>
      <c r="B36" s="494"/>
      <c r="C36" s="494"/>
      <c r="D36" s="494"/>
      <c r="E36" s="494"/>
      <c r="F36" s="494"/>
      <c r="G36" s="494"/>
      <c r="H36" s="494"/>
      <c r="I36" s="494"/>
      <c r="J36" s="494"/>
      <c r="K36" s="494"/>
      <c r="L36" s="494"/>
      <c r="M36" s="494"/>
      <c r="N36" s="494"/>
      <c r="O36" s="494"/>
      <c r="P36" s="494"/>
      <c r="Q36" s="494"/>
      <c r="R36" s="494"/>
      <c r="S36" s="494"/>
      <c r="T36" s="494"/>
      <c r="U36" s="494"/>
      <c r="V36" s="494"/>
      <c r="W36" s="494"/>
      <c r="X36" s="494"/>
      <c r="Y36" s="494"/>
      <c r="Z36" s="494"/>
      <c r="AA36" s="494"/>
      <c r="AB36" s="494"/>
      <c r="AC36" s="494"/>
    </row>
    <row r="37" spans="1:64" x14ac:dyDescent="0.7">
      <c r="A37" s="152"/>
      <c r="B37" s="153">
        <v>2023</v>
      </c>
      <c r="C37" s="153">
        <v>2024</v>
      </c>
      <c r="D37" s="153">
        <v>2025</v>
      </c>
      <c r="E37" s="153">
        <v>2026</v>
      </c>
      <c r="F37" s="153">
        <v>2027</v>
      </c>
      <c r="G37" s="153">
        <v>2028</v>
      </c>
      <c r="H37" s="153">
        <v>2029</v>
      </c>
      <c r="I37" s="153">
        <v>2030</v>
      </c>
      <c r="J37" s="153">
        <v>2031</v>
      </c>
      <c r="K37" s="153">
        <v>2032</v>
      </c>
      <c r="L37" s="153">
        <v>2033</v>
      </c>
      <c r="M37" s="153">
        <v>2034</v>
      </c>
      <c r="N37" s="153">
        <v>2035</v>
      </c>
      <c r="O37" s="153">
        <v>2036</v>
      </c>
      <c r="P37" s="153">
        <v>2037</v>
      </c>
      <c r="Q37" s="153">
        <v>2038</v>
      </c>
      <c r="R37" s="153">
        <v>2039</v>
      </c>
      <c r="S37" s="153">
        <v>2040</v>
      </c>
      <c r="T37" s="153">
        <v>2041</v>
      </c>
      <c r="U37" s="153">
        <v>2042</v>
      </c>
      <c r="V37" s="153">
        <v>2043</v>
      </c>
      <c r="W37" s="153">
        <v>2044</v>
      </c>
      <c r="X37" s="153">
        <v>2045</v>
      </c>
      <c r="Y37" s="153">
        <v>2046</v>
      </c>
      <c r="Z37" s="153">
        <v>2047</v>
      </c>
      <c r="AA37" s="153">
        <v>2048</v>
      </c>
      <c r="AB37" s="153">
        <v>2049</v>
      </c>
      <c r="AC37" s="153">
        <v>2050</v>
      </c>
    </row>
    <row r="38" spans="1:64" x14ac:dyDescent="0.7">
      <c r="A38" s="504" t="s">
        <v>340</v>
      </c>
      <c r="B38" s="505"/>
      <c r="C38" s="505"/>
      <c r="D38" s="505"/>
      <c r="E38" s="505"/>
      <c r="F38" s="505"/>
      <c r="G38" s="505"/>
      <c r="H38" s="505"/>
      <c r="I38" s="505"/>
      <c r="J38" s="505"/>
      <c r="K38" s="505"/>
      <c r="L38" s="505"/>
      <c r="M38" s="505"/>
      <c r="N38" s="505"/>
      <c r="O38" s="505"/>
      <c r="P38" s="505"/>
      <c r="Q38" s="505"/>
      <c r="R38" s="505"/>
      <c r="S38" s="505"/>
      <c r="T38" s="505"/>
      <c r="U38" s="505"/>
      <c r="V38" s="505"/>
      <c r="W38" s="505"/>
      <c r="X38" s="505"/>
      <c r="Y38" s="505"/>
      <c r="Z38" s="505"/>
      <c r="AA38" s="505"/>
      <c r="AB38" s="505"/>
      <c r="AC38" s="506"/>
    </row>
    <row r="39" spans="1:64" ht="40.799999999999997" x14ac:dyDescent="0.7">
      <c r="A39" s="161" t="s">
        <v>349</v>
      </c>
      <c r="B39" s="163">
        <f>'Forecast Parameters'!I211</f>
        <v>0.15829066472</v>
      </c>
      <c r="C39" s="163">
        <f>'Forecast Parameters'!J211</f>
        <v>0.16077078558999999</v>
      </c>
      <c r="D39" s="163">
        <f>'Forecast Parameters'!K211</f>
        <v>0.16378644085836214</v>
      </c>
      <c r="E39" s="163">
        <f>'Forecast Parameters'!L211</f>
        <v>0.1672313936</v>
      </c>
      <c r="F39" s="163">
        <f>'Forecast Parameters'!M211</f>
        <v>0.17126772324000003</v>
      </c>
      <c r="G39" s="163">
        <f>'Forecast Parameters'!N211</f>
        <v>0.17537491499000002</v>
      </c>
      <c r="H39" s="163">
        <f>'Forecast Parameters'!O211</f>
        <v>0.17962796048179627</v>
      </c>
      <c r="I39" s="163">
        <f>'Forecast Parameters'!P211</f>
        <v>0.18368860654183689</v>
      </c>
      <c r="J39" s="163">
        <f>'Forecast Parameters'!Q211</f>
        <v>0.18582877014185828</v>
      </c>
      <c r="K39" s="163">
        <f>'Forecast Parameters'!R211</f>
        <v>0.18677127422000003</v>
      </c>
      <c r="L39" s="163">
        <f>'Forecast Parameters'!S211</f>
        <v>0.1880800188381192</v>
      </c>
      <c r="M39" s="163">
        <f>'Forecast Parameters'!T211</f>
        <v>0.18890189658811096</v>
      </c>
      <c r="N39" s="163">
        <f>'Forecast Parameters'!U211</f>
        <v>0.18879420387000004</v>
      </c>
      <c r="O39" s="163">
        <f>'Forecast Parameters'!V211</f>
        <v>0.18786091307812139</v>
      </c>
      <c r="P39" s="163">
        <f>'Forecast Parameters'!W211</f>
        <v>0.18720129302187202</v>
      </c>
      <c r="Q39" s="163">
        <f>'Forecast Parameters'!X211</f>
        <v>0.18739298729000003</v>
      </c>
      <c r="R39" s="163">
        <f>'Forecast Parameters'!Y211</f>
        <v>0.18776507981187765</v>
      </c>
      <c r="S39" s="163">
        <f>'Forecast Parameters'!Z211</f>
        <v>0.18886756520188869</v>
      </c>
      <c r="T39" s="163">
        <f>'Forecast Parameters'!AA211</f>
        <v>0.1904796970180952</v>
      </c>
      <c r="U39" s="163">
        <f>'Forecast Parameters'!AB211</f>
        <v>0.19244364956192445</v>
      </c>
      <c r="V39" s="163">
        <f>'Forecast Parameters'!AC211</f>
        <v>0.19486711605000001</v>
      </c>
      <c r="W39" s="163">
        <f>'Forecast Parameters'!AD211</f>
        <v>0.1973349549</v>
      </c>
      <c r="X39" s="163">
        <f>'Forecast Parameters'!AE211</f>
        <v>0.19954717084000001</v>
      </c>
      <c r="Y39" s="163">
        <f>'Forecast Parameters'!AF211</f>
        <v>0.20169823066201698</v>
      </c>
      <c r="Z39" s="163">
        <f>'Forecast Parameters'!AG211</f>
        <v>0.20374394554203742</v>
      </c>
      <c r="AA39" s="163">
        <f>'Forecast Parameters'!AH211</f>
        <v>0.20556712529794427</v>
      </c>
      <c r="AB39" s="163">
        <f>'Forecast Parameters'!AI211</f>
        <v>0.20767335540000001</v>
      </c>
      <c r="AC39" s="163">
        <f>'Forecast Parameters'!AJ211</f>
        <v>0.2097481706120975</v>
      </c>
    </row>
    <row r="40" spans="1:64" x14ac:dyDescent="0.7">
      <c r="A40" s="161" t="s">
        <v>350</v>
      </c>
      <c r="B40" s="21">
        <v>0</v>
      </c>
      <c r="C40" s="21">
        <f>ROUND('Forecast Parameters'!J70*(1/'Baseline Building Energy'!$B$199),0)</f>
        <v>17985</v>
      </c>
      <c r="D40" s="21">
        <f>ROUND('Forecast Parameters'!K70*(1/'Baseline Building Energy'!$B$199),0)</f>
        <v>18110</v>
      </c>
      <c r="E40" s="21">
        <f>ROUND('Forecast Parameters'!L70*(1/'Baseline Building Energy'!$B$199),0)</f>
        <v>18234</v>
      </c>
      <c r="F40" s="21">
        <f>ROUND('Forecast Parameters'!M70*(1/'Baseline Building Energy'!$B$199),0)</f>
        <v>18359</v>
      </c>
      <c r="G40" s="21">
        <f>ROUND('Forecast Parameters'!N70*(1/'Baseline Building Energy'!$B$199),0)</f>
        <v>18484</v>
      </c>
      <c r="H40" s="21">
        <f>ROUND('Forecast Parameters'!O70*(1/'Baseline Building Energy'!$B$199),0)</f>
        <v>18609</v>
      </c>
      <c r="I40" s="21">
        <f>ROUND('Forecast Parameters'!P70*(1/'Baseline Building Energy'!$B$199),0)</f>
        <v>18733</v>
      </c>
      <c r="J40" s="21">
        <f>ROUND('Forecast Parameters'!Q70*(1/'Baseline Building Energy'!$B$199),0)</f>
        <v>18858</v>
      </c>
      <c r="K40" s="21">
        <f>ROUND('Forecast Parameters'!R70*(1/'Baseline Building Energy'!$B$199),0)</f>
        <v>18983</v>
      </c>
      <c r="L40" s="21">
        <f>ROUND('Forecast Parameters'!S70*(1/'Baseline Building Energy'!$B$199),0)</f>
        <v>19107</v>
      </c>
      <c r="M40" s="21">
        <f>ROUND('Forecast Parameters'!T70*(1/'Baseline Building Energy'!$B$199),0)</f>
        <v>19232</v>
      </c>
      <c r="N40" s="21">
        <f>ROUND('Forecast Parameters'!U70*(1/'Baseline Building Energy'!$B$199),0)</f>
        <v>19357</v>
      </c>
      <c r="O40" s="21">
        <f>ROUND('Forecast Parameters'!V70*(1/'Baseline Building Energy'!$B$199),0)</f>
        <v>19481</v>
      </c>
      <c r="P40" s="21">
        <f>ROUND('Forecast Parameters'!W70*(1/'Baseline Building Energy'!$B$199),0)</f>
        <v>19606</v>
      </c>
      <c r="Q40" s="21">
        <f>ROUND('Forecast Parameters'!X70*(1/'Baseline Building Energy'!$B$199),0)</f>
        <v>19731</v>
      </c>
      <c r="R40" s="21">
        <f>ROUND('Forecast Parameters'!Y70*(1/'Baseline Building Energy'!$B$199),0)</f>
        <v>19855</v>
      </c>
      <c r="S40" s="21">
        <f>ROUND('Forecast Parameters'!Z70*(1/'Baseline Building Energy'!$B$199),0)</f>
        <v>19980</v>
      </c>
      <c r="T40" s="21">
        <f>ROUND('Forecast Parameters'!AA70*(1/'Baseline Building Energy'!$B$199),0)</f>
        <v>20110</v>
      </c>
      <c r="U40" s="21">
        <f>ROUND('Forecast Parameters'!AB70*(1/'Baseline Building Energy'!$B$199),0)</f>
        <v>20241</v>
      </c>
      <c r="V40" s="21">
        <f>ROUND('Forecast Parameters'!AC70*(1/'Baseline Building Energy'!$B$199),0)</f>
        <v>20373</v>
      </c>
      <c r="W40" s="21">
        <f>ROUND('Forecast Parameters'!AD70*(1/'Baseline Building Energy'!$B$199),0)</f>
        <v>20506</v>
      </c>
      <c r="X40" s="21">
        <f>ROUND('Forecast Parameters'!AE70*(1/'Baseline Building Energy'!$B$199),0)</f>
        <v>20639</v>
      </c>
      <c r="Y40" s="21">
        <f>ROUND('Forecast Parameters'!AF70*(1/'Baseline Building Energy'!$B$199),0)</f>
        <v>20774</v>
      </c>
      <c r="Z40" s="21">
        <f>ROUND('Forecast Parameters'!AG70*(1/'Baseline Building Energy'!$B$199),0)</f>
        <v>20909</v>
      </c>
      <c r="AA40" s="21">
        <f>ROUND('Forecast Parameters'!AH70*(1/'Baseline Building Energy'!$B$199),0)</f>
        <v>21045</v>
      </c>
      <c r="AB40" s="21">
        <f>ROUND('Forecast Parameters'!AI70*(1/'Baseline Building Energy'!$B$199),0)</f>
        <v>21182</v>
      </c>
      <c r="AC40" s="21">
        <f>ROUND('Forecast Parameters'!AJ70*(1/'Baseline Building Energy'!$B$199),0)</f>
        <v>21320</v>
      </c>
    </row>
    <row r="41" spans="1:64" x14ac:dyDescent="0.7">
      <c r="A41" s="173" t="s">
        <v>392</v>
      </c>
      <c r="B41" s="21">
        <f>SUM($B$40:B40)</f>
        <v>0</v>
      </c>
      <c r="C41" s="21">
        <f>SUM($B$40:C40)</f>
        <v>17985</v>
      </c>
      <c r="D41" s="21">
        <f>SUM($B$40:D40)</f>
        <v>36095</v>
      </c>
      <c r="E41" s="21">
        <f>SUM($B$40:E40)</f>
        <v>54329</v>
      </c>
      <c r="F41" s="21">
        <f>SUM($B$40:F40)</f>
        <v>72688</v>
      </c>
      <c r="G41" s="21">
        <f>SUM($B$40:G40)</f>
        <v>91172</v>
      </c>
      <c r="H41" s="21">
        <f>SUM($B$40:H40)</f>
        <v>109781</v>
      </c>
      <c r="I41" s="21">
        <f>SUM($B$40:I40)</f>
        <v>128514</v>
      </c>
      <c r="J41" s="21">
        <f>SUM($B$40:J40)</f>
        <v>147372</v>
      </c>
      <c r="K41" s="21">
        <f>SUM($B$40:K40)</f>
        <v>166355</v>
      </c>
      <c r="L41" s="21">
        <f>SUM($B$40:L40)</f>
        <v>185462</v>
      </c>
      <c r="M41" s="21">
        <f>SUM($B$40:M40)</f>
        <v>204694</v>
      </c>
      <c r="N41" s="21">
        <f>SUM($B$40:N40)</f>
        <v>224051</v>
      </c>
      <c r="O41" s="21">
        <f>SUM($B$40:O40)</f>
        <v>243532</v>
      </c>
      <c r="P41" s="21">
        <f>SUM($B$40:P40)</f>
        <v>263138</v>
      </c>
      <c r="Q41" s="21">
        <f>SUM($B$40:Q40)</f>
        <v>282869</v>
      </c>
      <c r="R41" s="21">
        <f>SUM($B$40:R40)</f>
        <v>302724</v>
      </c>
      <c r="S41" s="21">
        <f>SUM($B$40:S40)</f>
        <v>322704</v>
      </c>
      <c r="T41" s="21">
        <f>SUM($B$40:T40)</f>
        <v>342814</v>
      </c>
      <c r="U41" s="21">
        <f>SUM($B$40:U40)</f>
        <v>363055</v>
      </c>
      <c r="V41" s="21">
        <f>SUM($B$40:V40)</f>
        <v>383428</v>
      </c>
      <c r="W41" s="21">
        <f>SUM($B$40:W40)</f>
        <v>403934</v>
      </c>
      <c r="X41" s="21">
        <f>SUM($B$40:X40)</f>
        <v>424573</v>
      </c>
      <c r="Y41" s="21">
        <f>SUM($B$40:Y40)</f>
        <v>445347</v>
      </c>
      <c r="Z41" s="21">
        <f>SUM($B$40:Z40)</f>
        <v>466256</v>
      </c>
      <c r="AA41" s="21">
        <f>SUM($B$40:AA40)</f>
        <v>487301</v>
      </c>
      <c r="AB41" s="21">
        <f>SUM($B$40:AB40)</f>
        <v>508483</v>
      </c>
      <c r="AC41" s="21">
        <f>SUM($B$40:AC40)</f>
        <v>529803</v>
      </c>
    </row>
    <row r="42" spans="1:64" ht="40.799999999999997" x14ac:dyDescent="0.7">
      <c r="A42" s="173" t="s">
        <v>393</v>
      </c>
      <c r="B42" s="21"/>
      <c r="C42" s="21" t="str">
        <f>IF(C41&gt;='Forecast Parameters'!D80,"X","")</f>
        <v/>
      </c>
      <c r="D42" s="21" t="str">
        <f>IF(D41&gt;='Forecast Parameters'!E80,"X","")</f>
        <v/>
      </c>
      <c r="E42" s="21" t="str">
        <f>IF(E41&gt;='Forecast Parameters'!F80,"X","")</f>
        <v/>
      </c>
      <c r="F42" s="21" t="str">
        <f>IF(F41&gt;='Forecast Parameters'!G80,"X","")</f>
        <v/>
      </c>
      <c r="G42" s="21" t="str">
        <f>IF(G41&gt;='Forecast Parameters'!H80,"X","")</f>
        <v/>
      </c>
      <c r="H42" s="21" t="str">
        <f>IF(H41&gt;='Forecast Parameters'!I80,"X","")</f>
        <v/>
      </c>
      <c r="I42" s="21" t="str">
        <f>IF(I41&gt;='Forecast Parameters'!J80,"X","")</f>
        <v/>
      </c>
      <c r="J42" s="21" t="str">
        <f>IF(J41&gt;='Forecast Parameters'!K80,"X","")</f>
        <v/>
      </c>
      <c r="K42" s="21" t="str">
        <f>IF(K41&gt;='Forecast Parameters'!L80,"X","")</f>
        <v/>
      </c>
      <c r="L42" s="21" t="str">
        <f>IF(L41&gt;='Forecast Parameters'!M80,"X","")</f>
        <v/>
      </c>
      <c r="M42" s="21" t="str">
        <f>IF(M41&gt;='Forecast Parameters'!N80,"X","")</f>
        <v/>
      </c>
      <c r="N42" s="21" t="str">
        <f>IF(N41&gt;='Forecast Parameters'!O80,"X","")</f>
        <v/>
      </c>
      <c r="O42" s="21" t="str">
        <f>IF(O41&gt;='Forecast Parameters'!P80,"X","")</f>
        <v/>
      </c>
      <c r="P42" s="21" t="str">
        <f>IF(P41&gt;='Forecast Parameters'!Q80,"X","")</f>
        <v>X</v>
      </c>
      <c r="Q42" s="21" t="str">
        <f>IF(Q41&gt;='Forecast Parameters'!R80,"X","")</f>
        <v>X</v>
      </c>
      <c r="R42" s="21" t="str">
        <f>IF(R41&gt;='Forecast Parameters'!S80,"X","")</f>
        <v>X</v>
      </c>
      <c r="S42" s="21" t="str">
        <f>IF(S41&gt;='Forecast Parameters'!T80,"X","")</f>
        <v>X</v>
      </c>
      <c r="T42" s="21" t="str">
        <f>IF(T41&gt;='Forecast Parameters'!U80,"X","")</f>
        <v>X</v>
      </c>
      <c r="U42" s="21" t="str">
        <f>IF(U41&gt;='Forecast Parameters'!V80,"X","")</f>
        <v>X</v>
      </c>
      <c r="V42" s="21" t="str">
        <f>IF(V41&gt;='Forecast Parameters'!W80,"X","")</f>
        <v>X</v>
      </c>
      <c r="W42" s="21" t="str">
        <f>IF(W41&gt;='Forecast Parameters'!X80,"X","")</f>
        <v>X</v>
      </c>
      <c r="X42" s="21" t="str">
        <f>IF(X41&gt;='Forecast Parameters'!Y80,"X","")</f>
        <v>X</v>
      </c>
      <c r="Y42" s="21" t="str">
        <f>IF(Y41&gt;='Forecast Parameters'!Z80,"X","")</f>
        <v>X</v>
      </c>
      <c r="Z42" s="21" t="str">
        <f>IF(Z41&gt;='Forecast Parameters'!AA80,"X","")</f>
        <v>X</v>
      </c>
      <c r="AA42" s="21" t="str">
        <f>IF(AA41&gt;='Forecast Parameters'!AB80,"X","")</f>
        <v>X</v>
      </c>
      <c r="AB42" s="21" t="str">
        <f>IF(AB41&gt;='Forecast Parameters'!AC80,"X","")</f>
        <v>X</v>
      </c>
      <c r="AC42" s="21" t="str">
        <f>IF(AC41&gt;='Forecast Parameters'!AD80,"X","")</f>
        <v>X</v>
      </c>
    </row>
    <row r="43" spans="1:64" x14ac:dyDescent="0.7">
      <c r="A43" s="498" t="s">
        <v>370</v>
      </c>
      <c r="B43" s="499"/>
      <c r="C43" s="499"/>
      <c r="D43" s="499"/>
      <c r="E43" s="499"/>
      <c r="F43" s="499"/>
      <c r="G43" s="499"/>
      <c r="H43" s="499"/>
      <c r="I43" s="499"/>
      <c r="J43" s="499"/>
      <c r="K43" s="499"/>
      <c r="L43" s="499"/>
      <c r="M43" s="499"/>
      <c r="N43" s="499"/>
      <c r="O43" s="499"/>
      <c r="P43" s="499"/>
      <c r="Q43" s="499"/>
      <c r="R43" s="499"/>
      <c r="S43" s="499"/>
      <c r="T43" s="499"/>
      <c r="U43" s="499"/>
      <c r="V43" s="499"/>
      <c r="W43" s="499"/>
      <c r="X43" s="499"/>
      <c r="Y43" s="499"/>
      <c r="Z43" s="499"/>
      <c r="AA43" s="499"/>
      <c r="AB43" s="499"/>
      <c r="AC43" s="500"/>
    </row>
    <row r="44" spans="1:64" x14ac:dyDescent="0.7">
      <c r="A44" s="170" t="s">
        <v>371</v>
      </c>
      <c r="B44" s="21">
        <f t="shared" ref="B44:AC44" si="7">B40*$B$213</f>
        <v>0</v>
      </c>
      <c r="C44" s="21">
        <f t="shared" si="7"/>
        <v>3335.6127982646417</v>
      </c>
      <c r="D44" s="21">
        <f>D40*$B$213</f>
        <v>3358.7960954446853</v>
      </c>
      <c r="E44" s="21">
        <f t="shared" si="7"/>
        <v>3381.7939262472883</v>
      </c>
      <c r="F44" s="21">
        <f t="shared" si="7"/>
        <v>3404.9772234273314</v>
      </c>
      <c r="G44" s="21">
        <f t="shared" si="7"/>
        <v>3428.160520607375</v>
      </c>
      <c r="H44" s="21">
        <f t="shared" si="7"/>
        <v>3451.3438177874182</v>
      </c>
      <c r="I44" s="21">
        <f t="shared" si="7"/>
        <v>3474.3416485900211</v>
      </c>
      <c r="J44" s="21">
        <f t="shared" si="7"/>
        <v>3497.5249457700647</v>
      </c>
      <c r="K44" s="21">
        <f t="shared" si="7"/>
        <v>3520.7082429501079</v>
      </c>
      <c r="L44" s="21">
        <f t="shared" si="7"/>
        <v>3543.7060737527113</v>
      </c>
      <c r="M44" s="21">
        <f t="shared" si="7"/>
        <v>3566.8893709327544</v>
      </c>
      <c r="N44" s="21">
        <f t="shared" si="7"/>
        <v>3590.0726681127981</v>
      </c>
      <c r="O44" s="21">
        <f t="shared" si="7"/>
        <v>3613.070498915401</v>
      </c>
      <c r="P44" s="21">
        <f t="shared" si="7"/>
        <v>3636.2537960954442</v>
      </c>
      <c r="Q44" s="21">
        <f t="shared" si="7"/>
        <v>3659.4370932754878</v>
      </c>
      <c r="R44" s="21">
        <f t="shared" si="7"/>
        <v>3682.4349240780907</v>
      </c>
      <c r="S44" s="21">
        <f t="shared" si="7"/>
        <v>3705.6182212581343</v>
      </c>
      <c r="T44" s="21">
        <f t="shared" si="7"/>
        <v>3729.7288503253794</v>
      </c>
      <c r="U44" s="21">
        <f t="shared" si="7"/>
        <v>3754.0249457700647</v>
      </c>
      <c r="V44" s="21">
        <f t="shared" si="7"/>
        <v>3778.5065075921907</v>
      </c>
      <c r="W44" s="21">
        <f t="shared" si="7"/>
        <v>3803.1735357917569</v>
      </c>
      <c r="X44" s="21">
        <f t="shared" si="7"/>
        <v>3827.8405639913226</v>
      </c>
      <c r="Y44" s="21">
        <f t="shared" si="7"/>
        <v>3852.8785249457696</v>
      </c>
      <c r="Z44" s="21">
        <f t="shared" si="7"/>
        <v>3877.9164859002167</v>
      </c>
      <c r="AA44" s="21">
        <f t="shared" si="7"/>
        <v>3903.1399132321039</v>
      </c>
      <c r="AB44" s="21">
        <f t="shared" si="7"/>
        <v>3928.5488069414314</v>
      </c>
      <c r="AC44" s="21">
        <f t="shared" si="7"/>
        <v>3954.1431670281991</v>
      </c>
    </row>
    <row r="45" spans="1:64" x14ac:dyDescent="0.7">
      <c r="A45" s="170" t="s">
        <v>372</v>
      </c>
      <c r="B45" s="21">
        <f t="shared" ref="B45:N45" si="8">B44*B39</f>
        <v>0</v>
      </c>
      <c r="C45" s="21">
        <f t="shared" si="8"/>
        <v>536.26909000106457</v>
      </c>
      <c r="D45" s="21">
        <f t="shared" si="8"/>
        <v>550.12525804184861</v>
      </c>
      <c r="E45" s="21">
        <f t="shared" si="8"/>
        <v>565.54211115434964</v>
      </c>
      <c r="F45" s="21">
        <f t="shared" si="8"/>
        <v>583.162696740456</v>
      </c>
      <c r="G45" s="21">
        <f t="shared" si="8"/>
        <v>601.21335987359259</v>
      </c>
      <c r="H45" s="21">
        <f t="shared" si="8"/>
        <v>619.9578509106102</v>
      </c>
      <c r="I45" s="21">
        <f t="shared" si="8"/>
        <v>638.19697607976934</v>
      </c>
      <c r="J45" s="21">
        <f t="shared" si="8"/>
        <v>649.94075921292074</v>
      </c>
      <c r="K45" s="21">
        <f t="shared" si="8"/>
        <v>657.56716469264904</v>
      </c>
      <c r="L45" s="21">
        <f t="shared" si="8"/>
        <v>666.50030510816737</v>
      </c>
      <c r="M45" s="21">
        <f t="shared" si="8"/>
        <v>673.79216708917136</v>
      </c>
      <c r="N45" s="21">
        <f t="shared" si="8"/>
        <v>677.78491121180264</v>
      </c>
      <c r="O45" s="21">
        <f t="shared" ref="O45:AC45" si="9">(O44-B45)*O39</f>
        <v>678.7547229418708</v>
      </c>
      <c r="P45" s="21">
        <f t="shared" si="9"/>
        <v>580.32114532889568</v>
      </c>
      <c r="Q45" s="21">
        <f t="shared" si="9"/>
        <v>582.66323322058406</v>
      </c>
      <c r="R45" s="21">
        <f t="shared" si="9"/>
        <v>585.24362778369402</v>
      </c>
      <c r="S45" s="21">
        <f t="shared" si="9"/>
        <v>589.73057236684019</v>
      </c>
      <c r="T45" s="21">
        <f t="shared" si="9"/>
        <v>595.91868273767386</v>
      </c>
      <c r="U45" s="21">
        <f t="shared" si="9"/>
        <v>603.13130970669147</v>
      </c>
      <c r="V45" s="21">
        <f t="shared" si="9"/>
        <v>611.94306191015221</v>
      </c>
      <c r="W45" s="21">
        <f t="shared" si="9"/>
        <v>622.24304775538633</v>
      </c>
      <c r="X45" s="21">
        <f t="shared" si="9"/>
        <v>632.61908761936002</v>
      </c>
      <c r="Y45" s="21">
        <f t="shared" si="9"/>
        <v>642.68684916123163</v>
      </c>
      <c r="Z45" s="21">
        <f t="shared" si="9"/>
        <v>652.8209307217553</v>
      </c>
      <c r="AA45" s="21">
        <f t="shared" si="9"/>
        <v>663.02695583065849</v>
      </c>
      <c r="AB45" s="21">
        <f t="shared" si="9"/>
        <v>674.89564178325827</v>
      </c>
      <c r="AC45" s="21">
        <f t="shared" si="9"/>
        <v>707.65299702223717</v>
      </c>
    </row>
    <row r="46" spans="1:64" x14ac:dyDescent="0.7">
      <c r="A46" s="170" t="s">
        <v>373</v>
      </c>
      <c r="B46" s="21">
        <f>((B45*$B$209)/'Forecast Parameters'!$B$132)*'Forecast Parameters'!E132</f>
        <v>0</v>
      </c>
      <c r="C46" s="21">
        <f>((C45*$B$209)/'Forecast Parameters'!$B$132)*'Forecast Parameters'!F132</f>
        <v>2451.9511890272461</v>
      </c>
      <c r="D46" s="21">
        <f>((D45*$B$209)/'Forecast Parameters'!$B$132)*'Forecast Parameters'!G132</f>
        <v>2511.487103359168</v>
      </c>
      <c r="E46" s="21">
        <f>((E45*$B$209)/'Forecast Parameters'!$B$132)*'Forecast Parameters'!H132</f>
        <v>2571.92682276306</v>
      </c>
      <c r="F46" s="21">
        <f>((F45*$B$209)/'Forecast Parameters'!$B$132)*'Forecast Parameters'!I132</f>
        <v>2641.8076648345186</v>
      </c>
      <c r="G46" s="21">
        <f>((G45*$B$209)/'Forecast Parameters'!$B$132)*'Forecast Parameters'!J132</f>
        <v>2713.0096781920638</v>
      </c>
      <c r="H46" s="21">
        <f>((H45*$B$209)/'Forecast Parameters'!$B$132)*'Forecast Parameters'!K132</f>
        <v>2786.6957306916115</v>
      </c>
      <c r="I46" s="21">
        <f>((I45*$B$209)/'Forecast Parameters'!$B$132)*'Forecast Parameters'!L132</f>
        <v>2857.459963354795</v>
      </c>
      <c r="J46" s="21">
        <f>((J45*$B$209)/'Forecast Parameters'!$B$132)*'Forecast Parameters'!M132</f>
        <v>2916.6569587462245</v>
      </c>
      <c r="K46" s="21">
        <f>((K45*$B$209)/'Forecast Parameters'!$B$132)*'Forecast Parameters'!N132</f>
        <v>2957.5740790720743</v>
      </c>
      <c r="L46" s="21">
        <f>((L45*$B$209)/'Forecast Parameters'!$B$132)*'Forecast Parameters'!O132</f>
        <v>3004.537120943281</v>
      </c>
      <c r="M46" s="21">
        <f>((M45*$B$209)/'Forecast Parameters'!$B$132)*'Forecast Parameters'!P132</f>
        <v>3044.266540152154</v>
      </c>
      <c r="N46" s="21">
        <f>((N45*$B$209)/'Forecast Parameters'!$B$132)*'Forecast Parameters'!Q132</f>
        <v>3069.2050455150497</v>
      </c>
      <c r="O46" s="21">
        <f>((O45*$B$209)/'Forecast Parameters'!$B$132)*'Forecast Parameters'!R132</f>
        <v>3067.1589583381406</v>
      </c>
      <c r="P46" s="21">
        <f>((P45*$B$209)/'Forecast Parameters'!$B$132)*'Forecast Parameters'!S132</f>
        <v>2616.8529240695175</v>
      </c>
      <c r="Q46" s="21">
        <f>((Q45*$B$209)/'Forecast Parameters'!$B$132)*'Forecast Parameters'!T132</f>
        <v>2621.8878540604114</v>
      </c>
      <c r="R46" s="21">
        <f>((R45*$B$209)/'Forecast Parameters'!$B$132)*'Forecast Parameters'!U132</f>
        <v>2627.9484370622431</v>
      </c>
      <c r="S46" s="21">
        <f>((S45*$B$209)/'Forecast Parameters'!$B$132)*'Forecast Parameters'!V132</f>
        <v>2642.5030655785858</v>
      </c>
      <c r="T46" s="21">
        <f>((T45*$B$209)/'Forecast Parameters'!$B$132)*'Forecast Parameters'!W132</f>
        <v>2640.4546978186604</v>
      </c>
      <c r="U46" s="21">
        <f>((U45*$B$209)/'Forecast Parameters'!$B$132)*'Forecast Parameters'!X132</f>
        <v>2642.2762594335672</v>
      </c>
      <c r="V46" s="21">
        <f>((V45*$B$209)/'Forecast Parameters'!$B$132)*'Forecast Parameters'!Y132</f>
        <v>2650.3027821662859</v>
      </c>
      <c r="W46" s="21">
        <f>((W45*$B$209)/'Forecast Parameters'!$B$132)*'Forecast Parameters'!Z132</f>
        <v>2663.8198276138505</v>
      </c>
      <c r="X46" s="21">
        <f>((X45*$B$209)/'Forecast Parameters'!$B$132)*'Forecast Parameters'!AA132</f>
        <v>2676.6293345620938</v>
      </c>
      <c r="Y46" s="21">
        <f>((Y45*$B$209)/'Forecast Parameters'!$B$132)*'Forecast Parameters'!AB132</f>
        <v>2710.1572762110345</v>
      </c>
      <c r="Z46" s="21">
        <f>((Z45*$B$209)/'Forecast Parameters'!$B$132)*'Forecast Parameters'!AC132</f>
        <v>2743.6798128751875</v>
      </c>
      <c r="AA46" s="21">
        <f>((AA45*$B$209)/'Forecast Parameters'!$B$132)*'Forecast Parameters'!AD132</f>
        <v>2777.2176922523699</v>
      </c>
      <c r="AB46" s="21">
        <f>((AB45*$B$209)/'Forecast Parameters'!$B$132)*'Forecast Parameters'!AE132</f>
        <v>2817.4084514687011</v>
      </c>
      <c r="AC46" s="21">
        <f>((AC45*$B$209)/'Forecast Parameters'!$B$132)*'Forecast Parameters'!AF132</f>
        <v>2944.1709880134122</v>
      </c>
    </row>
    <row r="47" spans="1:64" x14ac:dyDescent="0.7">
      <c r="A47" s="170" t="s">
        <v>379</v>
      </c>
      <c r="B47" s="21">
        <f>B46*($B$201/'Forecast Parameters'!G$203)</f>
        <v>0</v>
      </c>
      <c r="C47" s="21">
        <f>C46*($B$201/'Forecast Parameters'!H203)</f>
        <v>743.01551182643811</v>
      </c>
      <c r="D47" s="21">
        <f>D46*($B$201/'Forecast Parameters'!I203)</f>
        <v>744.14432692123489</v>
      </c>
      <c r="E47" s="21">
        <f>E46*($B$201/'Forecast Parameters'!J203)</f>
        <v>745.48603558349566</v>
      </c>
      <c r="F47" s="21">
        <f>F46*($B$201/'Forecast Parameters'!K203)</f>
        <v>749.44898293177823</v>
      </c>
      <c r="G47" s="21">
        <f>G46*($B$201/'Forecast Parameters'!L203)</f>
        <v>753.61379949779553</v>
      </c>
      <c r="H47" s="21">
        <f>H46*($B$201/'Forecast Parameters'!M203)</f>
        <v>758.28455256914606</v>
      </c>
      <c r="I47" s="21">
        <f>I46*($B$201/'Forecast Parameters'!N203)</f>
        <v>761.98932356127864</v>
      </c>
      <c r="J47" s="21">
        <f>J46*($B$201/'Forecast Parameters'!O203)</f>
        <v>767.54130493321691</v>
      </c>
      <c r="K47" s="21">
        <f>K46*($B$201/'Forecast Parameters'!P203)</f>
        <v>768.20105949924016</v>
      </c>
      <c r="L47" s="21">
        <f>L46*($B$201/'Forecast Parameters'!Q203)</f>
        <v>770.39413357520039</v>
      </c>
      <c r="M47" s="21">
        <f>M46*($B$201/'Forecast Parameters'!R203)</f>
        <v>770.7003899119378</v>
      </c>
      <c r="N47" s="21">
        <f>N46*($B$201/'Forecast Parameters'!S203)</f>
        <v>767.30126137876243</v>
      </c>
      <c r="O47" s="21">
        <f>O46*($B$201/'Forecast Parameters'!T203)</f>
        <v>757.32319958966434</v>
      </c>
      <c r="P47" s="21">
        <f>P46*($B$201/'Forecast Parameters'!U203)</f>
        <v>638.25681074866282</v>
      </c>
      <c r="Q47" s="21">
        <f>Q46*($B$201/'Forecast Parameters'!V203)</f>
        <v>631.78020579768952</v>
      </c>
      <c r="R47" s="21">
        <f>R46*($B$201/'Forecast Parameters'!W203)</f>
        <v>625.70200882434369</v>
      </c>
      <c r="S47" s="21">
        <f>S46*($B$201/'Forecast Parameters'!X203)</f>
        <v>621.76542719496138</v>
      </c>
      <c r="T47" s="21">
        <f>T46*($B$201/'Forecast Parameters'!Y203)</f>
        <v>619.09840511574691</v>
      </c>
      <c r="U47" s="21">
        <f>U46*($B$201/'Forecast Parameters'!Z203)</f>
        <v>617.35426622279613</v>
      </c>
      <c r="V47" s="21">
        <f>V46*($B$201/'Forecast Parameters'!AA203)</f>
        <v>617.06700399680699</v>
      </c>
      <c r="W47" s="21">
        <f>W46*($B$201/'Forecast Parameters'!AB203)</f>
        <v>618.05564445797006</v>
      </c>
      <c r="X47" s="21">
        <f>X46*($B$201/'Forecast Parameters'!AC203)</f>
        <v>618.87383458083104</v>
      </c>
      <c r="Y47" s="21">
        <f>Y46*($B$201/'Forecast Parameters'!AD203)</f>
        <v>624.46020189194348</v>
      </c>
      <c r="Z47" s="21">
        <f>Z46*($B$201/'Forecast Parameters'!AE203)</f>
        <v>630.0068456659443</v>
      </c>
      <c r="AA47" s="21">
        <f>AA46*($B$201/'Forecast Parameters'!AF203)</f>
        <v>635.51892271221277</v>
      </c>
      <c r="AB47" s="21">
        <f>AB46*($B$201/'Forecast Parameters'!AG203)</f>
        <v>642.51047924029672</v>
      </c>
      <c r="AC47" s="21">
        <f>AC46*($B$201/'Forecast Parameters'!AH203)</f>
        <v>669.12977000304818</v>
      </c>
    </row>
    <row r="48" spans="1:64" x14ac:dyDescent="0.7">
      <c r="A48" s="501" t="s">
        <v>38</v>
      </c>
      <c r="B48" s="502"/>
      <c r="C48" s="502"/>
      <c r="D48" s="502"/>
      <c r="E48" s="502"/>
      <c r="F48" s="502"/>
      <c r="G48" s="502"/>
      <c r="H48" s="502"/>
      <c r="I48" s="502"/>
      <c r="J48" s="502"/>
      <c r="K48" s="502"/>
      <c r="L48" s="502"/>
      <c r="M48" s="502"/>
      <c r="N48" s="502"/>
      <c r="O48" s="502"/>
      <c r="P48" s="502"/>
      <c r="Q48" s="502"/>
      <c r="R48" s="502"/>
      <c r="S48" s="502"/>
      <c r="T48" s="502"/>
      <c r="U48" s="502"/>
      <c r="V48" s="502"/>
      <c r="W48" s="502"/>
      <c r="X48" s="502"/>
      <c r="Y48" s="502"/>
      <c r="Z48" s="502"/>
      <c r="AA48" s="502"/>
      <c r="AB48" s="502"/>
      <c r="AC48" s="503"/>
    </row>
    <row r="49" spans="1:29" x14ac:dyDescent="0.7">
      <c r="A49" s="170" t="s">
        <v>374</v>
      </c>
      <c r="B49" s="21">
        <f t="shared" ref="B49:AC49" si="10">B40*$B$210</f>
        <v>0</v>
      </c>
      <c r="C49" s="21">
        <f t="shared" si="10"/>
        <v>11255.254880694141</v>
      </c>
      <c r="D49" s="21">
        <f t="shared" si="10"/>
        <v>11333.481561822124</v>
      </c>
      <c r="E49" s="21">
        <f t="shared" si="10"/>
        <v>11411.082429501083</v>
      </c>
      <c r="F49" s="21">
        <f t="shared" si="10"/>
        <v>11489.309110629065</v>
      </c>
      <c r="G49" s="21">
        <f t="shared" si="10"/>
        <v>11567.535791757047</v>
      </c>
      <c r="H49" s="21">
        <f t="shared" si="10"/>
        <v>11645.76247288503</v>
      </c>
      <c r="I49" s="21">
        <f t="shared" si="10"/>
        <v>11723.363340563988</v>
      </c>
      <c r="J49" s="21">
        <f t="shared" si="10"/>
        <v>11801.590021691971</v>
      </c>
      <c r="K49" s="21">
        <f t="shared" si="10"/>
        <v>11879.816702819955</v>
      </c>
      <c r="L49" s="21">
        <f t="shared" si="10"/>
        <v>11957.417570498914</v>
      </c>
      <c r="M49" s="21">
        <f t="shared" si="10"/>
        <v>12035.644251626896</v>
      </c>
      <c r="N49" s="21">
        <f t="shared" si="10"/>
        <v>12113.870932754879</v>
      </c>
      <c r="O49" s="21">
        <f t="shared" si="10"/>
        <v>12191.471800433837</v>
      </c>
      <c r="P49" s="21">
        <f t="shared" si="10"/>
        <v>12269.69848156182</v>
      </c>
      <c r="Q49" s="21">
        <f t="shared" si="10"/>
        <v>12347.925162689802</v>
      </c>
      <c r="R49" s="21">
        <f t="shared" si="10"/>
        <v>12425.526030368761</v>
      </c>
      <c r="S49" s="21">
        <f t="shared" si="10"/>
        <v>12503.752711496743</v>
      </c>
      <c r="T49" s="21">
        <f t="shared" si="10"/>
        <v>12585.108459869845</v>
      </c>
      <c r="U49" s="21">
        <f t="shared" si="10"/>
        <v>12667.090021691971</v>
      </c>
      <c r="V49" s="21">
        <f t="shared" si="10"/>
        <v>12749.697396963122</v>
      </c>
      <c r="W49" s="21">
        <f t="shared" si="10"/>
        <v>12832.930585683294</v>
      </c>
      <c r="X49" s="21">
        <f t="shared" si="10"/>
        <v>12916.163774403469</v>
      </c>
      <c r="Y49" s="21">
        <f t="shared" si="10"/>
        <v>13000.648590021689</v>
      </c>
      <c r="Z49" s="21">
        <f t="shared" si="10"/>
        <v>13085.13340563991</v>
      </c>
      <c r="AA49" s="21">
        <f t="shared" si="10"/>
        <v>13170.244034707155</v>
      </c>
      <c r="AB49" s="21">
        <f t="shared" si="10"/>
        <v>13255.980477223424</v>
      </c>
      <c r="AC49" s="21">
        <f t="shared" si="10"/>
        <v>13342.342733188718</v>
      </c>
    </row>
    <row r="50" spans="1:29" x14ac:dyDescent="0.7">
      <c r="A50" s="170" t="s">
        <v>375</v>
      </c>
      <c r="B50" s="21">
        <f t="shared" ref="B50:N50" si="11">B49*B39</f>
        <v>0</v>
      </c>
      <c r="C50" s="21">
        <f t="shared" si="11"/>
        <v>1809.5161691848787</v>
      </c>
      <c r="D50" s="21">
        <f t="shared" si="11"/>
        <v>1856.270607544717</v>
      </c>
      <c r="E50" s="21">
        <f t="shared" si="11"/>
        <v>1908.2912171699397</v>
      </c>
      <c r="F50" s="21">
        <f t="shared" si="11"/>
        <v>1967.7478129780295</v>
      </c>
      <c r="G50" s="21">
        <f t="shared" si="11"/>
        <v>2028.6556061231747</v>
      </c>
      <c r="H50" s="21">
        <f t="shared" si="11"/>
        <v>2091.9045612597783</v>
      </c>
      <c r="I50" s="21">
        <f t="shared" si="11"/>
        <v>2153.4482760118531</v>
      </c>
      <c r="J50" s="21">
        <f t="shared" si="11"/>
        <v>2193.0749594494455</v>
      </c>
      <c r="K50" s="21">
        <f t="shared" si="11"/>
        <v>2218.8085030857224</v>
      </c>
      <c r="L50" s="21">
        <f t="shared" si="11"/>
        <v>2248.9513219146934</v>
      </c>
      <c r="M50" s="21">
        <f t="shared" si="11"/>
        <v>2273.5560257921161</v>
      </c>
      <c r="N50" s="21">
        <f t="shared" si="11"/>
        <v>2287.0286185333921</v>
      </c>
      <c r="O50" s="21">
        <f t="shared" ref="O50:AC50" si="12">(O49-B50)*O39</f>
        <v>2290.301024195669</v>
      </c>
      <c r="P50" s="21">
        <f t="shared" si="12"/>
        <v>1958.1596541214785</v>
      </c>
      <c r="Q50" s="21">
        <f t="shared" si="12"/>
        <v>1966.0624887033739</v>
      </c>
      <c r="R50" s="21">
        <f t="shared" si="12"/>
        <v>1974.7694341005349</v>
      </c>
      <c r="S50" s="21">
        <f t="shared" si="12"/>
        <v>1989.9095921384016</v>
      </c>
      <c r="T50" s="21">
        <f t="shared" si="12"/>
        <v>2010.7899411674721</v>
      </c>
      <c r="U50" s="21">
        <f t="shared" si="12"/>
        <v>2035.1272847997714</v>
      </c>
      <c r="V50" s="21">
        <f t="shared" si="12"/>
        <v>2064.8605071471216</v>
      </c>
      <c r="W50" s="21">
        <f t="shared" si="12"/>
        <v>2099.615430145368</v>
      </c>
      <c r="X50" s="21">
        <f t="shared" si="12"/>
        <v>2134.6269798618173</v>
      </c>
      <c r="Y50" s="21">
        <f t="shared" si="12"/>
        <v>2168.5983155908225</v>
      </c>
      <c r="Z50" s="21">
        <f t="shared" si="12"/>
        <v>2202.7934329032323</v>
      </c>
      <c r="AA50" s="21">
        <f t="shared" si="12"/>
        <v>2237.2313071011108</v>
      </c>
      <c r="AB50" s="21">
        <f t="shared" si="12"/>
        <v>2277.2794462511106</v>
      </c>
      <c r="AC50" s="21">
        <f t="shared" si="12"/>
        <v>2387.8115747475485</v>
      </c>
    </row>
    <row r="51" spans="1:29" x14ac:dyDescent="0.7">
      <c r="A51" s="170" t="s">
        <v>376</v>
      </c>
      <c r="B51" s="21">
        <f>((B50*$B$207)/'Forecast Parameters'!$B$132)*'Forecast Parameters'!E132</f>
        <v>0</v>
      </c>
      <c r="C51" s="21">
        <f>((C50*$B$207)/'Forecast Parameters'!$B$132)*'Forecast Parameters'!F132</f>
        <v>44425.328185732789</v>
      </c>
      <c r="D51" s="21">
        <f>((D50*$B$207)/'Forecast Parameters'!$B$132)*'Forecast Parameters'!G132</f>
        <v>45504.021164968879</v>
      </c>
      <c r="E51" s="21">
        <f>((E50*$B$207)/'Forecast Parameters'!$B$132)*'Forecast Parameters'!H132</f>
        <v>46599.08960759834</v>
      </c>
      <c r="F51" s="21">
        <f>((F50*$B$207)/'Forecast Parameters'!$B$132)*'Forecast Parameters'!I132</f>
        <v>47865.215685806092</v>
      </c>
      <c r="G51" s="21">
        <f>((G50*$B$207)/'Forecast Parameters'!$B$132)*'Forecast Parameters'!J132</f>
        <v>49155.27921767794</v>
      </c>
      <c r="H51" s="21">
        <f>((H50*$B$207)/'Forecast Parameters'!$B$132)*'Forecast Parameters'!K132</f>
        <v>50490.349458738609</v>
      </c>
      <c r="I51" s="21">
        <f>((I50*$B$207)/'Forecast Parameters'!$B$132)*'Forecast Parameters'!L132</f>
        <v>51772.48112348868</v>
      </c>
      <c r="J51" s="21">
        <f>((J50*$B$207)/'Forecast Parameters'!$B$132)*'Forecast Parameters'!M132</f>
        <v>52845.033448201502</v>
      </c>
      <c r="K51" s="21">
        <f>((K50*$B$207)/'Forecast Parameters'!$B$132)*'Forecast Parameters'!N132</f>
        <v>53586.384461641625</v>
      </c>
      <c r="L51" s="21">
        <f>((L50*$B$207)/'Forecast Parameters'!$B$132)*'Forecast Parameters'!O132</f>
        <v>54437.277642984423</v>
      </c>
      <c r="M51" s="21">
        <f>((M50*$B$207)/'Forecast Parameters'!$B$132)*'Forecast Parameters'!P132</f>
        <v>55157.10946299832</v>
      </c>
      <c r="N51" s="21">
        <f>((N50*$B$207)/'Forecast Parameters'!$B$132)*'Forecast Parameters'!Q132</f>
        <v>55608.954218377738</v>
      </c>
      <c r="O51" s="21">
        <f>((O50*$B$207)/'Forecast Parameters'!$B$132)*'Forecast Parameters'!R132</f>
        <v>55571.882479455046</v>
      </c>
      <c r="P51" s="21">
        <f>((P50*$B$207)/'Forecast Parameters'!$B$132)*'Forecast Parameters'!S132</f>
        <v>47413.076771607368</v>
      </c>
      <c r="Q51" s="21">
        <f>((Q50*$B$207)/'Forecast Parameters'!$B$132)*'Forecast Parameters'!T132</f>
        <v>47504.301433109045</v>
      </c>
      <c r="R51" s="21">
        <f>((R50*$B$207)/'Forecast Parameters'!$B$132)*'Forecast Parameters'!U132</f>
        <v>47614.109242521467</v>
      </c>
      <c r="S51" s="21">
        <f>((S50*$B$207)/'Forecast Parameters'!$B$132)*'Forecast Parameters'!V132</f>
        <v>47877.815205084473</v>
      </c>
      <c r="T51" s="21">
        <f>((T50*$B$207)/'Forecast Parameters'!$B$132)*'Forecast Parameters'!W132</f>
        <v>47840.702145743402</v>
      </c>
      <c r="U51" s="21">
        <f>((U50*$B$207)/'Forecast Parameters'!$B$132)*'Forecast Parameters'!X132</f>
        <v>47873.705850268554</v>
      </c>
      <c r="V51" s="21">
        <f>((V50*$B$207)/'Forecast Parameters'!$B$132)*'Forecast Parameters'!Y132</f>
        <v>48019.133258524904</v>
      </c>
      <c r="W51" s="21">
        <f>((W50*$B$207)/'Forecast Parameters'!$B$132)*'Forecast Parameters'!Z132</f>
        <v>48264.039920124385</v>
      </c>
      <c r="X51" s="21">
        <f>((X50*$B$207)/'Forecast Parameters'!$B$132)*'Forecast Parameters'!AA132</f>
        <v>48496.12714625668</v>
      </c>
      <c r="Y51" s="21">
        <f>((Y50*$B$207)/'Forecast Parameters'!$B$132)*'Forecast Parameters'!AB132</f>
        <v>49103.598378886403</v>
      </c>
      <c r="Z51" s="21">
        <f>((Z50*$B$207)/'Forecast Parameters'!$B$132)*'Forecast Parameters'!AC132</f>
        <v>49710.97168206951</v>
      </c>
      <c r="AA51" s="21">
        <f>((AA50*$B$207)/'Forecast Parameters'!$B$132)*'Forecast Parameters'!AD132</f>
        <v>50318.62297001214</v>
      </c>
      <c r="AB51" s="21">
        <f>((AB50*$B$207)/'Forecast Parameters'!$B$132)*'Forecast Parameters'!AE132</f>
        <v>51046.81351320463</v>
      </c>
      <c r="AC51" s="21">
        <f>((AC50*$B$207)/'Forecast Parameters'!$B$132)*'Forecast Parameters'!AF132</f>
        <v>53343.542466397594</v>
      </c>
    </row>
    <row r="52" spans="1:29" x14ac:dyDescent="0.7">
      <c r="A52" s="170" t="s">
        <v>377</v>
      </c>
      <c r="B52" s="21">
        <f>B51*($B$200/'Forecast Parameters'!G203)</f>
        <v>0</v>
      </c>
      <c r="C52" s="21">
        <f>C51*($B$200/'Forecast Parameters'!H203)</f>
        <v>10769.776529874616</v>
      </c>
      <c r="D52" s="21">
        <f>D51*($B$200/'Forecast Parameters'!I203)</f>
        <v>10786.138350214846</v>
      </c>
      <c r="E52" s="21">
        <f>E51*($B$200/'Forecast Parameters'!J203)</f>
        <v>10805.585995964833</v>
      </c>
      <c r="F52" s="21">
        <f>F51*($B$200/'Forecast Parameters'!K203)</f>
        <v>10863.027673374432</v>
      </c>
      <c r="G52" s="21">
        <f>G51*($B$200/'Forecast Parameters'!L203)</f>
        <v>10923.39538170621</v>
      </c>
      <c r="H52" s="21">
        <f>H51*($B$200/'Forecast Parameters'!M203)</f>
        <v>10991.096480813847</v>
      </c>
      <c r="I52" s="21">
        <f>I51*($B$200/'Forecast Parameters'!N203)</f>
        <v>11044.79597301092</v>
      </c>
      <c r="J52" s="21">
        <f>J51*($B$200/'Forecast Parameters'!O203)</f>
        <v>11125.270199621369</v>
      </c>
      <c r="K52" s="21">
        <f>K51*($B$200/'Forecast Parameters'!P203)</f>
        <v>11134.833134886574</v>
      </c>
      <c r="L52" s="21">
        <f>L51*($B$200/'Forecast Parameters'!Q203)</f>
        <v>11166.621054971167</v>
      </c>
      <c r="M52" s="21">
        <f>M51*($B$200/'Forecast Parameters'!R203)</f>
        <v>11171.060144404724</v>
      </c>
      <c r="N52" s="21">
        <f>N51*($B$200/'Forecast Parameters'!S203)</f>
        <v>11121.790843675548</v>
      </c>
      <c r="O52" s="21">
        <f>O51*($B$200/'Forecast Parameters'!T203)</f>
        <v>10977.16197125038</v>
      </c>
      <c r="P52" s="21">
        <f>P51*($B$200/'Forecast Parameters'!U203)</f>
        <v>9251.3320529965604</v>
      </c>
      <c r="Q52" s="21">
        <f>Q51*($B$200/'Forecast Parameters'!V203)</f>
        <v>9157.4556979487334</v>
      </c>
      <c r="R52" s="21">
        <f>R51*($B$200/'Forecast Parameters'!W203)</f>
        <v>9069.3541414326628</v>
      </c>
      <c r="S52" s="21">
        <f>S51*($B$200/'Forecast Parameters'!X203)</f>
        <v>9012.2946268394298</v>
      </c>
      <c r="T52" s="21">
        <f>T51*($B$200/'Forecast Parameters'!Y203)</f>
        <v>8973.6369792719179</v>
      </c>
      <c r="U52" s="21">
        <f>U51*($B$200/'Forecast Parameters'!Z203)</f>
        <v>8948.3562336950599</v>
      </c>
      <c r="V52" s="21">
        <f>V51*($B$200/'Forecast Parameters'!AA203)</f>
        <v>8944.1924579324623</v>
      </c>
      <c r="W52" s="21">
        <f>W51*($B$200/'Forecast Parameters'!AB203)</f>
        <v>8958.5224909743647</v>
      </c>
      <c r="X52" s="21">
        <f>X51*($B$200/'Forecast Parameters'!AC203)</f>
        <v>8970.3818998856314</v>
      </c>
      <c r="Y52" s="21">
        <f>Y51*($B$200/'Forecast Parameters'!AD203)</f>
        <v>9051.3545398868955</v>
      </c>
      <c r="Z52" s="21">
        <f>Z51*($B$200/'Forecast Parameters'!AE203)</f>
        <v>9131.7513996912985</v>
      </c>
      <c r="AA52" s="21">
        <f>AA51*($B$200/'Forecast Parameters'!AF203)</f>
        <v>9211.6472256315119</v>
      </c>
      <c r="AB52" s="21">
        <f>AB51*($B$200/'Forecast Parameters'!AG203)</f>
        <v>9312.9876420897854</v>
      </c>
      <c r="AC52" s="21">
        <f>AC51*($B$200/'Forecast Parameters'!AH203)</f>
        <v>9698.8259029813817</v>
      </c>
    </row>
    <row r="53" spans="1:29" x14ac:dyDescent="0.7">
      <c r="A53" s="501" t="s">
        <v>42</v>
      </c>
      <c r="B53" s="502"/>
      <c r="C53" s="502"/>
      <c r="D53" s="502"/>
      <c r="E53" s="502"/>
      <c r="F53" s="502"/>
      <c r="G53" s="502"/>
      <c r="H53" s="502"/>
      <c r="I53" s="502"/>
      <c r="J53" s="502"/>
      <c r="K53" s="502"/>
      <c r="L53" s="502"/>
      <c r="M53" s="502"/>
      <c r="N53" s="502"/>
      <c r="O53" s="502"/>
      <c r="P53" s="502"/>
      <c r="Q53" s="502"/>
      <c r="R53" s="502"/>
      <c r="S53" s="502"/>
      <c r="T53" s="502"/>
      <c r="U53" s="502"/>
      <c r="V53" s="502"/>
      <c r="W53" s="502"/>
      <c r="X53" s="502"/>
      <c r="Y53" s="502"/>
      <c r="Z53" s="502"/>
      <c r="AA53" s="502"/>
      <c r="AB53" s="502"/>
      <c r="AC53" s="503"/>
    </row>
    <row r="54" spans="1:29" x14ac:dyDescent="0.7">
      <c r="A54" s="170" t="s">
        <v>384</v>
      </c>
      <c r="B54" s="21">
        <f t="shared" ref="B54:AC54" si="13">B40*$B$211</f>
        <v>0</v>
      </c>
      <c r="C54" s="21">
        <f t="shared" si="13"/>
        <v>643.71475054229938</v>
      </c>
      <c r="D54" s="21">
        <f t="shared" si="13"/>
        <v>648.18872017353578</v>
      </c>
      <c r="E54" s="21">
        <f t="shared" si="13"/>
        <v>652.62689804772242</v>
      </c>
      <c r="F54" s="21">
        <f t="shared" si="13"/>
        <v>657.10086767895882</v>
      </c>
      <c r="G54" s="21">
        <f t="shared" si="13"/>
        <v>661.57483731019522</v>
      </c>
      <c r="H54" s="21">
        <f t="shared" si="13"/>
        <v>666.04880694143174</v>
      </c>
      <c r="I54" s="21">
        <f t="shared" si="13"/>
        <v>670.48698481561826</v>
      </c>
      <c r="J54" s="21">
        <f t="shared" si="13"/>
        <v>674.96095444685466</v>
      </c>
      <c r="K54" s="21">
        <f t="shared" si="13"/>
        <v>679.43492407809117</v>
      </c>
      <c r="L54" s="21">
        <f t="shared" si="13"/>
        <v>683.87310195227769</v>
      </c>
      <c r="M54" s="21">
        <f t="shared" si="13"/>
        <v>688.34707158351409</v>
      </c>
      <c r="N54" s="21">
        <f t="shared" si="13"/>
        <v>692.82104121475061</v>
      </c>
      <c r="O54" s="21">
        <f t="shared" si="13"/>
        <v>697.25921908893713</v>
      </c>
      <c r="P54" s="21">
        <f t="shared" si="13"/>
        <v>701.73318872017353</v>
      </c>
      <c r="Q54" s="21">
        <f t="shared" si="13"/>
        <v>706.20715835141004</v>
      </c>
      <c r="R54" s="21">
        <f t="shared" si="13"/>
        <v>710.64533622559657</v>
      </c>
      <c r="S54" s="21">
        <f t="shared" si="13"/>
        <v>715.11930585683308</v>
      </c>
      <c r="T54" s="21">
        <f t="shared" si="13"/>
        <v>719.77223427331887</v>
      </c>
      <c r="U54" s="21">
        <f t="shared" si="13"/>
        <v>724.46095444685477</v>
      </c>
      <c r="V54" s="21">
        <f t="shared" si="13"/>
        <v>729.18546637744043</v>
      </c>
      <c r="W54" s="21">
        <f t="shared" si="13"/>
        <v>733.94577006507598</v>
      </c>
      <c r="X54" s="21">
        <f t="shared" si="13"/>
        <v>738.70607375271152</v>
      </c>
      <c r="Y54" s="21">
        <f t="shared" si="13"/>
        <v>743.53796095444693</v>
      </c>
      <c r="Z54" s="21">
        <f t="shared" si="13"/>
        <v>748.36984815618223</v>
      </c>
      <c r="AA54" s="21">
        <f t="shared" si="13"/>
        <v>753.23752711496752</v>
      </c>
      <c r="AB54" s="21">
        <f t="shared" si="13"/>
        <v>758.14099783080269</v>
      </c>
      <c r="AC54" s="21">
        <f t="shared" si="13"/>
        <v>763.08026030368774</v>
      </c>
    </row>
    <row r="55" spans="1:29" x14ac:dyDescent="0.7">
      <c r="A55" s="170" t="s">
        <v>375</v>
      </c>
      <c r="B55" s="21">
        <f t="shared" ref="B55:N55" si="14">B54*B39</f>
        <v>0</v>
      </c>
      <c r="C55" s="21">
        <f t="shared" si="14"/>
        <v>103.49052614055634</v>
      </c>
      <c r="D55" s="21">
        <f t="shared" si="14"/>
        <v>106.16452348176027</v>
      </c>
      <c r="E55" s="21">
        <f t="shared" si="14"/>
        <v>109.13970566136574</v>
      </c>
      <c r="F55" s="21">
        <f t="shared" si="14"/>
        <v>112.5401695464038</v>
      </c>
      <c r="G55" s="21">
        <f t="shared" si="14"/>
        <v>116.02363085279858</v>
      </c>
      <c r="H55" s="21">
        <f t="shared" si="14"/>
        <v>119.64098877222305</v>
      </c>
      <c r="I55" s="21">
        <f t="shared" si="14"/>
        <v>123.16081994521866</v>
      </c>
      <c r="J55" s="21">
        <f t="shared" si="14"/>
        <v>125.42716405863383</v>
      </c>
      <c r="K55" s="21">
        <f t="shared" si="14"/>
        <v>126.89892651963407</v>
      </c>
      <c r="L55" s="21">
        <f t="shared" si="14"/>
        <v>128.6228658980674</v>
      </c>
      <c r="M55" s="21">
        <f t="shared" si="14"/>
        <v>130.03006733299799</v>
      </c>
      <c r="N55" s="21">
        <f t="shared" si="14"/>
        <v>130.80059690052332</v>
      </c>
      <c r="O55" s="21">
        <f t="shared" ref="O55:AC55" si="15">(O54-B55)*O39</f>
        <v>130.98775355018563</v>
      </c>
      <c r="P55" s="21">
        <f t="shared" si="15"/>
        <v>111.99179997575183</v>
      </c>
      <c r="Q55" s="21">
        <f t="shared" si="15"/>
        <v>112.44378184958641</v>
      </c>
      <c r="R55" s="21">
        <f t="shared" si="15"/>
        <v>112.94175273018659</v>
      </c>
      <c r="S55" s="21">
        <f t="shared" si="15"/>
        <v>113.80765431640776</v>
      </c>
      <c r="T55" s="21">
        <f t="shared" si="15"/>
        <v>115.00185105463882</v>
      </c>
      <c r="U55" s="21">
        <f t="shared" si="15"/>
        <v>116.39376152234399</v>
      </c>
      <c r="V55" s="21">
        <f t="shared" si="15"/>
        <v>118.09427510546799</v>
      </c>
      <c r="W55" s="21">
        <f t="shared" si="15"/>
        <v>120.08199167209213</v>
      </c>
      <c r="X55" s="21">
        <f t="shared" si="15"/>
        <v>122.08438533005194</v>
      </c>
      <c r="Y55" s="21">
        <f t="shared" si="15"/>
        <v>124.02728668023774</v>
      </c>
      <c r="Z55" s="21">
        <f t="shared" si="15"/>
        <v>125.9829866305142</v>
      </c>
      <c r="AA55" s="21">
        <f t="shared" si="15"/>
        <v>127.95257042346043</v>
      </c>
      <c r="AB55" s="21">
        <f t="shared" si="15"/>
        <v>130.24301858975161</v>
      </c>
      <c r="AC55" s="21">
        <f t="shared" si="15"/>
        <v>136.56461346043176</v>
      </c>
    </row>
    <row r="56" spans="1:29" x14ac:dyDescent="0.7">
      <c r="A56" s="170" t="s">
        <v>385</v>
      </c>
      <c r="B56" s="21">
        <f>((B55*$B$208)/'Forecast Parameters'!$B$132)*'Forecast Parameters'!E132</f>
        <v>0</v>
      </c>
      <c r="C56" s="21">
        <f>((C55*$B$208)/'Forecast Parameters'!$B$132)*'Forecast Parameters'!F132</f>
        <v>2633.3693929445949</v>
      </c>
      <c r="D56" s="21">
        <f>((D55*$B$208)/'Forecast Parameters'!$B$132)*'Forecast Parameters'!G132</f>
        <v>2697.310329160724</v>
      </c>
      <c r="E56" s="21">
        <f>((E55*$B$208)/'Forecast Parameters'!$B$132)*'Forecast Parameters'!H132</f>
        <v>2762.2219423725323</v>
      </c>
      <c r="F56" s="21">
        <f>((F55*$B$208)/'Forecast Parameters'!$B$132)*'Forecast Parameters'!I132</f>
        <v>2837.2732205087746</v>
      </c>
      <c r="G56" s="21">
        <f>((G55*$B$208)/'Forecast Parameters'!$B$132)*'Forecast Parameters'!J132</f>
        <v>2913.7434224976555</v>
      </c>
      <c r="H56" s="21">
        <f>((H55*$B$208)/'Forecast Parameters'!$B$132)*'Forecast Parameters'!K132</f>
        <v>2992.8814559983148</v>
      </c>
      <c r="I56" s="21">
        <f>((I55*$B$208)/'Forecast Parameters'!$B$132)*'Forecast Parameters'!L132</f>
        <v>3068.8814861964547</v>
      </c>
      <c r="J56" s="21">
        <f>((J55*$B$208)/'Forecast Parameters'!$B$132)*'Forecast Parameters'!M132</f>
        <v>3132.4584270897667</v>
      </c>
      <c r="K56" s="21">
        <f>((K55*$B$208)/'Forecast Parameters'!$B$132)*'Forecast Parameters'!N132</f>
        <v>3176.4029773710781</v>
      </c>
      <c r="L56" s="21">
        <f>((L55*$B$208)/'Forecast Parameters'!$B$132)*'Forecast Parameters'!O132</f>
        <v>3226.8407828284826</v>
      </c>
      <c r="M56" s="21">
        <f>((M55*$B$208)/'Forecast Parameters'!$B$132)*'Forecast Parameters'!P132</f>
        <v>3269.5097547934656</v>
      </c>
      <c r="N56" s="21">
        <f>((N55*$B$208)/'Forecast Parameters'!$B$132)*'Forecast Parameters'!Q132</f>
        <v>3296.2934432381317</v>
      </c>
      <c r="O56" s="21">
        <f>((O55*$B$208)/'Forecast Parameters'!$B$132)*'Forecast Parameters'!R132</f>
        <v>3294.0959674600326</v>
      </c>
      <c r="P56" s="21">
        <f>((P55*$B$208)/'Forecast Parameters'!$B$132)*'Forecast Parameters'!S132</f>
        <v>2810.4720954156232</v>
      </c>
      <c r="Q56" s="21">
        <f>((Q55*$B$208)/'Forecast Parameters'!$B$132)*'Forecast Parameters'!T132</f>
        <v>2815.8795564584748</v>
      </c>
      <c r="R56" s="21">
        <f>((R55*$B$208)/'Forecast Parameters'!$B$132)*'Forecast Parameters'!U132</f>
        <v>2822.3885578822574</v>
      </c>
      <c r="S56" s="21">
        <f>((S55*$B$208)/'Forecast Parameters'!$B$132)*'Forecast Parameters'!V132</f>
        <v>2838.0200734818077</v>
      </c>
      <c r="T56" s="21">
        <f>((T55*$B$208)/'Forecast Parameters'!$B$132)*'Forecast Parameters'!W132</f>
        <v>2835.820148381903</v>
      </c>
      <c r="U56" s="21">
        <f>((U55*$B$208)/'Forecast Parameters'!$B$132)*'Forecast Parameters'!X132</f>
        <v>2837.7764861040914</v>
      </c>
      <c r="V56" s="21">
        <f>((V55*$B$208)/'Forecast Parameters'!$B$132)*'Forecast Parameters'!Y132</f>
        <v>2846.3968858048297</v>
      </c>
      <c r="W56" s="21">
        <f>((W55*$B$208)/'Forecast Parameters'!$B$132)*'Forecast Parameters'!Z132</f>
        <v>2860.9140482687285</v>
      </c>
      <c r="X56" s="21">
        <f>((X55*$B$208)/'Forecast Parameters'!$B$132)*'Forecast Parameters'!AA132</f>
        <v>2874.6713219400676</v>
      </c>
      <c r="Y56" s="21">
        <f>((Y55*$B$208)/'Forecast Parameters'!$B$132)*'Forecast Parameters'!AB132</f>
        <v>2910.6799732304644</v>
      </c>
      <c r="Z56" s="21">
        <f>((Z55*$B$208)/'Forecast Parameters'!$B$132)*'Forecast Parameters'!AC132</f>
        <v>2946.6828196249166</v>
      </c>
      <c r="AA56" s="21">
        <f>((AA55*$B$208)/'Forecast Parameters'!$B$132)*'Forecast Parameters'!AD132</f>
        <v>2982.7021439293194</v>
      </c>
      <c r="AB56" s="21">
        <f>((AB55*$B$208)/'Forecast Parameters'!$B$132)*'Forecast Parameters'!AE132</f>
        <v>3025.8665901357222</v>
      </c>
      <c r="AC56" s="21">
        <f>((AC55*$B$208)/'Forecast Parameters'!$B$132)*'Forecast Parameters'!AF132</f>
        <v>3162.0082007039555</v>
      </c>
    </row>
    <row r="57" spans="1:29" x14ac:dyDescent="0.7">
      <c r="A57" s="170" t="s">
        <v>377</v>
      </c>
      <c r="B57" s="21">
        <f>B56*($B$200/'Forecast Parameters'!G203)</f>
        <v>0</v>
      </c>
      <c r="C57" s="21">
        <f>C56*($B$200/'Forecast Parameters'!H203)</f>
        <v>638.39258010778065</v>
      </c>
      <c r="D57" s="21">
        <f>D56*($B$200/'Forecast Parameters'!I203)</f>
        <v>639.36244839365315</v>
      </c>
      <c r="E57" s="21">
        <f>E56*($B$200/'Forecast Parameters'!J203)</f>
        <v>640.51523301392058</v>
      </c>
      <c r="F57" s="21">
        <f>F56*($B$200/'Forecast Parameters'!K203)</f>
        <v>643.92016351972188</v>
      </c>
      <c r="G57" s="21">
        <f>G56*($B$200/'Forecast Parameters'!L203)</f>
        <v>647.49853833281236</v>
      </c>
      <c r="H57" s="21">
        <f>H56*($B$200/'Forecast Parameters'!M203)</f>
        <v>651.51160946902098</v>
      </c>
      <c r="I57" s="21">
        <f>I56*($B$200/'Forecast Parameters'!N203)</f>
        <v>654.6947170552437</v>
      </c>
      <c r="J57" s="21">
        <f>J56*($B$200/'Forecast Parameters'!O203)</f>
        <v>659.46493201889825</v>
      </c>
      <c r="K57" s="21">
        <f>K56*($B$200/'Forecast Parameters'!P203)</f>
        <v>660.03178750567872</v>
      </c>
      <c r="L57" s="21">
        <f>L56*($B$200/'Forecast Parameters'!Q203)</f>
        <v>661.9160580160991</v>
      </c>
      <c r="M57" s="21">
        <f>M56*($B$200/'Forecast Parameters'!R203)</f>
        <v>662.17919084424625</v>
      </c>
      <c r="N57" s="21">
        <f>N56*($B$200/'Forecast Parameters'!S203)</f>
        <v>659.2586886476264</v>
      </c>
      <c r="O57" s="21">
        <f>O56*($B$200/'Forecast Parameters'!T203)</f>
        <v>650.6856232019818</v>
      </c>
      <c r="P57" s="21">
        <f>P56*($B$200/'Forecast Parameters'!U203)</f>
        <v>548.38479910548756</v>
      </c>
      <c r="Q57" s="21">
        <f>Q56*($B$200/'Forecast Parameters'!V203)</f>
        <v>542.82015546187472</v>
      </c>
      <c r="R57" s="21">
        <f>R56*($B$200/'Forecast Parameters'!W203)</f>
        <v>537.59782054900154</v>
      </c>
      <c r="S57" s="21">
        <f>S56*($B$200/'Forecast Parameters'!X203)</f>
        <v>534.21554324363433</v>
      </c>
      <c r="T57" s="21">
        <f>T56*($B$200/'Forecast Parameters'!Y203)</f>
        <v>531.92406065780131</v>
      </c>
      <c r="U57" s="21">
        <f>U56*($B$200/'Forecast Parameters'!Z203)</f>
        <v>530.42551142132561</v>
      </c>
      <c r="V57" s="21">
        <f>V56*($B$200/'Forecast Parameters'!AA203)</f>
        <v>530.17869817086466</v>
      </c>
      <c r="W57" s="21">
        <f>W56*($B$200/'Forecast Parameters'!AB203)</f>
        <v>531.02812960904475</v>
      </c>
      <c r="X57" s="21">
        <f>X56*($B$200/'Forecast Parameters'!AC203)</f>
        <v>531.73111157272945</v>
      </c>
      <c r="Y57" s="21">
        <f>Y56*($B$200/'Forecast Parameters'!AD203)</f>
        <v>536.53087064156023</v>
      </c>
      <c r="Z57" s="21">
        <f>Z56*($B$200/'Forecast Parameters'!AE203)</f>
        <v>541.29649958666664</v>
      </c>
      <c r="AA57" s="21">
        <f>AA56*($B$200/'Forecast Parameters'!AF203)</f>
        <v>546.03242909461221</v>
      </c>
      <c r="AB57" s="21">
        <f>AB56*($B$200/'Forecast Parameters'!AG203)</f>
        <v>552.03951473399718</v>
      </c>
      <c r="AC57" s="21">
        <f>AC56*($B$200/'Forecast Parameters'!AH203)</f>
        <v>574.91058194617369</v>
      </c>
    </row>
    <row r="58" spans="1:29" x14ac:dyDescent="0.7">
      <c r="A58" s="501" t="s">
        <v>386</v>
      </c>
      <c r="B58" s="502"/>
      <c r="C58" s="502"/>
      <c r="D58" s="502"/>
      <c r="E58" s="502"/>
      <c r="F58" s="502"/>
      <c r="G58" s="502"/>
      <c r="H58" s="502"/>
      <c r="I58" s="502"/>
      <c r="J58" s="502"/>
      <c r="K58" s="502"/>
      <c r="L58" s="502"/>
      <c r="M58" s="502"/>
      <c r="N58" s="502"/>
      <c r="O58" s="502"/>
      <c r="P58" s="502"/>
      <c r="Q58" s="502"/>
      <c r="R58" s="502"/>
      <c r="S58" s="502"/>
      <c r="T58" s="502"/>
      <c r="U58" s="502"/>
      <c r="V58" s="502"/>
      <c r="W58" s="502"/>
      <c r="X58" s="502"/>
      <c r="Y58" s="502"/>
      <c r="Z58" s="502"/>
      <c r="AA58" s="502"/>
      <c r="AB58" s="502"/>
      <c r="AC58" s="503"/>
    </row>
    <row r="59" spans="1:29" x14ac:dyDescent="0.7">
      <c r="A59" s="170" t="s">
        <v>388</v>
      </c>
      <c r="B59" s="21">
        <f>(B46-B47)+B52+B57</f>
        <v>0</v>
      </c>
      <c r="C59" s="21">
        <f>((C46-C47)+C52+C57)+B59</f>
        <v>13117.104787183205</v>
      </c>
      <c r="D59" s="21">
        <f t="shared" ref="D59:AC59" si="16">((D46-D47)+D52+D57)+C59</f>
        <v>26309.948362229639</v>
      </c>
      <c r="E59" s="21">
        <f t="shared" si="16"/>
        <v>39582.490378387956</v>
      </c>
      <c r="F59" s="21">
        <f t="shared" si="16"/>
        <v>52981.796897184853</v>
      </c>
      <c r="G59" s="21">
        <f t="shared" si="16"/>
        <v>66512.086695918144</v>
      </c>
      <c r="H59" s="21">
        <f t="shared" si="16"/>
        <v>80183.105964323477</v>
      </c>
      <c r="I59" s="21">
        <f t="shared" si="16"/>
        <v>93978.067294183158</v>
      </c>
      <c r="J59" s="21">
        <f t="shared" si="16"/>
        <v>107911.91807963644</v>
      </c>
      <c r="K59" s="21">
        <f t="shared" si="16"/>
        <v>121896.15602160152</v>
      </c>
      <c r="L59" s="21">
        <f t="shared" si="16"/>
        <v>135958.83612195688</v>
      </c>
      <c r="M59" s="21">
        <f t="shared" si="16"/>
        <v>150065.64160744607</v>
      </c>
      <c r="N59" s="21">
        <f t="shared" si="16"/>
        <v>164148.59492390553</v>
      </c>
      <c r="O59" s="21">
        <f t="shared" si="16"/>
        <v>178086.27827710638</v>
      </c>
      <c r="P59" s="21">
        <f t="shared" si="16"/>
        <v>189864.59124252928</v>
      </c>
      <c r="Q59" s="21">
        <f t="shared" si="16"/>
        <v>201554.9747442026</v>
      </c>
      <c r="R59" s="21">
        <f t="shared" si="16"/>
        <v>213164.17313442216</v>
      </c>
      <c r="S59" s="21">
        <f t="shared" si="16"/>
        <v>224731.42094288886</v>
      </c>
      <c r="T59" s="21">
        <f t="shared" si="16"/>
        <v>236258.3382755215</v>
      </c>
      <c r="U59" s="21">
        <f t="shared" si="16"/>
        <v>247762.04201384867</v>
      </c>
      <c r="V59" s="21">
        <f t="shared" si="16"/>
        <v>259269.64894812147</v>
      </c>
      <c r="W59" s="21">
        <f t="shared" si="16"/>
        <v>270804.96375186078</v>
      </c>
      <c r="X59" s="21">
        <f t="shared" si="16"/>
        <v>282364.83226330043</v>
      </c>
      <c r="Y59" s="21">
        <f t="shared" si="16"/>
        <v>294038.41474814794</v>
      </c>
      <c r="Z59" s="21">
        <f t="shared" si="16"/>
        <v>305825.13561463513</v>
      </c>
      <c r="AA59" s="21">
        <f t="shared" si="16"/>
        <v>317724.51403890143</v>
      </c>
      <c r="AB59" s="21">
        <f t="shared" si="16"/>
        <v>329764.43916795362</v>
      </c>
      <c r="AC59" s="21">
        <f t="shared" si="16"/>
        <v>342313.21687089151</v>
      </c>
    </row>
    <row r="60" spans="1:29" x14ac:dyDescent="0.7">
      <c r="A60" s="170" t="s">
        <v>387</v>
      </c>
      <c r="B60" s="21">
        <f>-B51</f>
        <v>0</v>
      </c>
      <c r="C60" s="21">
        <f>-C51+B60</f>
        <v>-44425.328185732789</v>
      </c>
      <c r="D60" s="21">
        <f t="shared" ref="D60:AC60" si="17">-D51+C60</f>
        <v>-89929.349350701668</v>
      </c>
      <c r="E60" s="21">
        <f t="shared" si="17"/>
        <v>-136528.43895830002</v>
      </c>
      <c r="F60" s="21">
        <f t="shared" si="17"/>
        <v>-184393.65464410611</v>
      </c>
      <c r="G60" s="21">
        <f t="shared" si="17"/>
        <v>-233548.93386178405</v>
      </c>
      <c r="H60" s="21">
        <f t="shared" si="17"/>
        <v>-284039.28332052263</v>
      </c>
      <c r="I60" s="21">
        <f t="shared" si="17"/>
        <v>-335811.76444401132</v>
      </c>
      <c r="J60" s="21">
        <f t="shared" si="17"/>
        <v>-388656.79789221281</v>
      </c>
      <c r="K60" s="21">
        <f t="shared" si="17"/>
        <v>-442243.18235385441</v>
      </c>
      <c r="L60" s="21">
        <f t="shared" si="17"/>
        <v>-496680.45999683882</v>
      </c>
      <c r="M60" s="21">
        <f t="shared" si="17"/>
        <v>-551837.56945983716</v>
      </c>
      <c r="N60" s="21">
        <f t="shared" si="17"/>
        <v>-607446.52367821487</v>
      </c>
      <c r="O60" s="21">
        <f t="shared" si="17"/>
        <v>-663018.40615766996</v>
      </c>
      <c r="P60" s="21">
        <f t="shared" si="17"/>
        <v>-710431.48292927735</v>
      </c>
      <c r="Q60" s="21">
        <f t="shared" si="17"/>
        <v>-757935.78436238645</v>
      </c>
      <c r="R60" s="21">
        <f t="shared" si="17"/>
        <v>-805549.89360490791</v>
      </c>
      <c r="S60" s="21">
        <f t="shared" si="17"/>
        <v>-853427.70880999241</v>
      </c>
      <c r="T60" s="21">
        <f t="shared" si="17"/>
        <v>-901268.41095573583</v>
      </c>
      <c r="U60" s="21">
        <f t="shared" si="17"/>
        <v>-949142.11680600443</v>
      </c>
      <c r="V60" s="21">
        <f t="shared" si="17"/>
        <v>-997161.25006452936</v>
      </c>
      <c r="W60" s="21">
        <f t="shared" si="17"/>
        <v>-1045425.2899846537</v>
      </c>
      <c r="X60" s="21">
        <f t="shared" si="17"/>
        <v>-1093921.4171309103</v>
      </c>
      <c r="Y60" s="21">
        <f t="shared" si="17"/>
        <v>-1143025.0155097968</v>
      </c>
      <c r="Z60" s="21">
        <f t="shared" si="17"/>
        <v>-1192735.9871918664</v>
      </c>
      <c r="AA60" s="21">
        <f t="shared" si="17"/>
        <v>-1243054.6101618786</v>
      </c>
      <c r="AB60" s="21">
        <f t="shared" si="17"/>
        <v>-1294101.4236750833</v>
      </c>
      <c r="AC60" s="21">
        <f t="shared" si="17"/>
        <v>-1347444.966141481</v>
      </c>
    </row>
    <row r="61" spans="1:29" x14ac:dyDescent="0.7">
      <c r="A61" s="170" t="s">
        <v>389</v>
      </c>
      <c r="B61" s="21">
        <f>-B57</f>
        <v>0</v>
      </c>
      <c r="C61" s="21">
        <f>-C57+B61</f>
        <v>-638.39258010778065</v>
      </c>
      <c r="D61" s="21">
        <f t="shared" ref="D61:AC61" si="18">-D57+C61</f>
        <v>-1277.7550285014338</v>
      </c>
      <c r="E61" s="21">
        <f t="shared" si="18"/>
        <v>-1918.2702615153544</v>
      </c>
      <c r="F61" s="21">
        <f t="shared" si="18"/>
        <v>-2562.1904250350763</v>
      </c>
      <c r="G61" s="21">
        <f t="shared" si="18"/>
        <v>-3209.6889633678884</v>
      </c>
      <c r="H61" s="21">
        <f t="shared" si="18"/>
        <v>-3861.2005728369095</v>
      </c>
      <c r="I61" s="21">
        <f t="shared" si="18"/>
        <v>-4515.8952898921534</v>
      </c>
      <c r="J61" s="21">
        <f t="shared" si="18"/>
        <v>-5175.3602219110517</v>
      </c>
      <c r="K61" s="21">
        <f t="shared" si="18"/>
        <v>-5835.3920094167306</v>
      </c>
      <c r="L61" s="21">
        <f t="shared" si="18"/>
        <v>-6497.3080674328294</v>
      </c>
      <c r="M61" s="21">
        <f t="shared" si="18"/>
        <v>-7159.4872582770759</v>
      </c>
      <c r="N61" s="21">
        <f t="shared" si="18"/>
        <v>-7818.7459469247024</v>
      </c>
      <c r="O61" s="21">
        <f t="shared" si="18"/>
        <v>-8469.4315701266842</v>
      </c>
      <c r="P61" s="21">
        <f t="shared" si="18"/>
        <v>-9017.8163692321723</v>
      </c>
      <c r="Q61" s="21">
        <f t="shared" si="18"/>
        <v>-9560.6365246940477</v>
      </c>
      <c r="R61" s="21">
        <f t="shared" si="18"/>
        <v>-10098.234345243049</v>
      </c>
      <c r="S61" s="21">
        <f t="shared" si="18"/>
        <v>-10632.449888486683</v>
      </c>
      <c r="T61" s="21">
        <f t="shared" si="18"/>
        <v>-11164.373949144483</v>
      </c>
      <c r="U61" s="21">
        <f t="shared" si="18"/>
        <v>-11694.79946056581</v>
      </c>
      <c r="V61" s="21">
        <f t="shared" si="18"/>
        <v>-12224.978158736674</v>
      </c>
      <c r="W61" s="21">
        <f t="shared" si="18"/>
        <v>-12756.006288345719</v>
      </c>
      <c r="X61" s="21">
        <f t="shared" si="18"/>
        <v>-13287.737399918449</v>
      </c>
      <c r="Y61" s="21">
        <f t="shared" si="18"/>
        <v>-13824.268270560009</v>
      </c>
      <c r="Z61" s="21">
        <f t="shared" si="18"/>
        <v>-14365.564770146675</v>
      </c>
      <c r="AA61" s="21">
        <f t="shared" si="18"/>
        <v>-14911.597199241287</v>
      </c>
      <c r="AB61" s="21">
        <f t="shared" si="18"/>
        <v>-15463.636713975284</v>
      </c>
      <c r="AC61" s="21">
        <f t="shared" si="18"/>
        <v>-16038.547295921457</v>
      </c>
    </row>
    <row r="62" spans="1:29" x14ac:dyDescent="0.7">
      <c r="A62" s="504" t="s">
        <v>312</v>
      </c>
      <c r="B62" s="505"/>
      <c r="C62" s="505"/>
      <c r="D62" s="505"/>
      <c r="E62" s="505"/>
      <c r="F62" s="505"/>
      <c r="G62" s="505"/>
      <c r="H62" s="505"/>
      <c r="I62" s="505"/>
      <c r="J62" s="505"/>
      <c r="K62" s="505"/>
      <c r="L62" s="505"/>
      <c r="M62" s="505"/>
      <c r="N62" s="505"/>
      <c r="O62" s="505"/>
      <c r="P62" s="505"/>
      <c r="Q62" s="505"/>
      <c r="R62" s="505"/>
      <c r="S62" s="505"/>
      <c r="T62" s="505"/>
      <c r="U62" s="505"/>
      <c r="V62" s="505"/>
      <c r="W62" s="505"/>
      <c r="X62" s="505"/>
      <c r="Y62" s="505"/>
      <c r="Z62" s="505"/>
      <c r="AA62" s="505"/>
      <c r="AB62" s="505"/>
      <c r="AC62" s="506"/>
    </row>
    <row r="63" spans="1:29" ht="40.799999999999997" x14ac:dyDescent="0.7">
      <c r="A63" s="161" t="s">
        <v>349</v>
      </c>
      <c r="B63" s="163">
        <f>'Forecast Parameters'!D213</f>
        <v>0.12565453604999999</v>
      </c>
      <c r="C63" s="163">
        <f>'Forecast Parameters'!E213</f>
        <v>0.12558293319125582</v>
      </c>
      <c r="D63" s="163">
        <f>'Forecast Parameters'!F213</f>
        <v>0.12550228472000002</v>
      </c>
      <c r="E63" s="163">
        <f>'Forecast Parameters'!G213</f>
        <v>0.12550529950125505</v>
      </c>
      <c r="F63" s="163">
        <f>'Forecast Parameters'!H213</f>
        <v>0.12552891015874471</v>
      </c>
      <c r="G63" s="163">
        <f>'Forecast Parameters'!I213</f>
        <v>0.1255400946512554</v>
      </c>
      <c r="H63" s="163">
        <f>'Forecast Parameters'!J213</f>
        <v>0.12554237295000001</v>
      </c>
      <c r="I63" s="163">
        <f>'Forecast Parameters'!K213</f>
        <v>0.12556386508000003</v>
      </c>
      <c r="J63" s="163">
        <f>'Forecast Parameters'!L213</f>
        <v>0.12552879262</v>
      </c>
      <c r="K63" s="163">
        <f>'Forecast Parameters'!M213</f>
        <v>0.12552665472874472</v>
      </c>
      <c r="L63" s="163">
        <f>'Forecast Parameters'!N213</f>
        <v>0.12553834630874461</v>
      </c>
      <c r="M63" s="163">
        <f>'Forecast Parameters'!O213</f>
        <v>0.12556275646000001</v>
      </c>
      <c r="N63" s="163">
        <f>'Forecast Parameters'!P213</f>
        <v>0.12557365394125575</v>
      </c>
      <c r="O63" s="163">
        <f>'Forecast Parameters'!Q213</f>
        <v>0.12568529443874316</v>
      </c>
      <c r="P63" s="163">
        <f>'Forecast Parameters'!R213</f>
        <v>0.12573675683999999</v>
      </c>
      <c r="Q63" s="163">
        <f>'Forecast Parameters'!S213</f>
        <v>0.12577419323125771</v>
      </c>
      <c r="R63" s="163">
        <f>'Forecast Parameters'!T213</f>
        <v>0.12583964932125841</v>
      </c>
      <c r="S63" s="163">
        <f>'Forecast Parameters'!U213</f>
        <v>0.1259704617687403</v>
      </c>
      <c r="T63" s="163">
        <f>'Forecast Parameters'!V213</f>
        <v>0.1259752859825195</v>
      </c>
      <c r="U63" s="163">
        <f>'Forecast Parameters'!W213</f>
        <v>0.12598358719874017</v>
      </c>
      <c r="V63" s="163">
        <f>'Forecast Parameters'!X213</f>
        <v>0.12601558026999998</v>
      </c>
      <c r="W63" s="163">
        <f>'Forecast Parameters'!Y213</f>
        <v>0.12596591411874034</v>
      </c>
      <c r="X63" s="163">
        <f>'Forecast Parameters'!Z213</f>
        <v>0.12595427681251911</v>
      </c>
      <c r="Y63" s="163">
        <f>'Forecast Parameters'!AA213</f>
        <v>0.12590965025125908</v>
      </c>
      <c r="Z63" s="163">
        <f>'Forecast Parameters'!AB213</f>
        <v>0.12590147441999999</v>
      </c>
      <c r="AA63" s="163">
        <f>'Forecast Parameters'!AC213</f>
        <v>0.12584775773125847</v>
      </c>
      <c r="AB63" s="163">
        <f>'Forecast Parameters'!AD213</f>
        <v>0.12585754832000001</v>
      </c>
      <c r="AC63" s="163">
        <f>'Forecast Parameters'!AE213</f>
        <v>0.12581636169999999</v>
      </c>
    </row>
    <row r="64" spans="1:29" x14ac:dyDescent="0.7">
      <c r="A64" s="170" t="s">
        <v>390</v>
      </c>
      <c r="B64" s="21">
        <v>0</v>
      </c>
      <c r="C64" s="21">
        <f>ROUND('Forecast Parameters'!D56*(1/'Baseline Building Energy'!$B$199),0)</f>
        <v>10961238</v>
      </c>
      <c r="D64" s="21">
        <f>ROUND('Forecast Parameters'!E56*(1/'Baseline Building Energy'!$B$199),0)</f>
        <v>11036452</v>
      </c>
      <c r="E64" s="21">
        <f>ROUND('Forecast Parameters'!F56*(1/'Baseline Building Energy'!$B$199),0)</f>
        <v>11111666</v>
      </c>
      <c r="F64" s="21">
        <f>ROUND('Forecast Parameters'!G56*(1/'Baseline Building Energy'!$B$199),0)</f>
        <v>11186881</v>
      </c>
      <c r="G64" s="21">
        <f>ROUND('Forecast Parameters'!H56*(1/'Baseline Building Energy'!$B$199),0)</f>
        <v>11262095</v>
      </c>
      <c r="H64" s="21">
        <f>ROUND('Forecast Parameters'!I56*(1/'Baseline Building Energy'!$B$199),0)</f>
        <v>11337309</v>
      </c>
      <c r="I64" s="21">
        <f>ROUND('Forecast Parameters'!J56*(1/'Baseline Building Energy'!$B$199),0)</f>
        <v>11412523</v>
      </c>
      <c r="J64" s="21">
        <f>ROUND('Forecast Parameters'!K56*(1/'Baseline Building Energy'!$B$199),0)</f>
        <v>11487737</v>
      </c>
      <c r="K64" s="21">
        <f>ROUND('Forecast Parameters'!L56*(1/'Baseline Building Energy'!$B$199),0)</f>
        <v>11562951</v>
      </c>
      <c r="L64" s="21">
        <f>ROUND('Forecast Parameters'!M56*(1/'Baseline Building Energy'!$B$199),0)</f>
        <v>11638165</v>
      </c>
      <c r="M64" s="21">
        <f>ROUND('Forecast Parameters'!N56*(1/'Baseline Building Energy'!$B$199),0)</f>
        <v>11713379</v>
      </c>
      <c r="N64" s="21">
        <f>ROUND('Forecast Parameters'!O56*(1/'Baseline Building Energy'!$B$199),0)</f>
        <v>11788593</v>
      </c>
      <c r="O64" s="21">
        <f>ROUND('Forecast Parameters'!P56*(1/'Baseline Building Energy'!$B$199),0)</f>
        <v>11863807</v>
      </c>
      <c r="P64" s="21">
        <f>ROUND('Forecast Parameters'!Q56*(1/'Baseline Building Energy'!$B$199),0)</f>
        <v>11939021</v>
      </c>
      <c r="Q64" s="21">
        <f>ROUND('Forecast Parameters'!R56*(1/'Baseline Building Energy'!$B$199),0)</f>
        <v>12014235</v>
      </c>
      <c r="R64" s="21">
        <f>ROUND('Forecast Parameters'!S56*(1/'Baseline Building Energy'!$B$199),0)</f>
        <v>12089449</v>
      </c>
      <c r="S64" s="21">
        <f>ROUND('Forecast Parameters'!T56*(1/'Baseline Building Energy'!$B$199),0)</f>
        <v>12164663</v>
      </c>
      <c r="T64" s="21">
        <f>ROUND('Forecast Parameters'!U56*(1/'Baseline Building Energy'!$B$199),0)</f>
        <v>12243075</v>
      </c>
      <c r="U64" s="21">
        <f>ROUND('Forecast Parameters'!V56*(1/'Baseline Building Energy'!$B$199),0)</f>
        <v>12321991</v>
      </c>
      <c r="V64" s="21">
        <f>ROUND('Forecast Parameters'!W56*(1/'Baseline Building Energy'!$B$199),0)</f>
        <v>12401417</v>
      </c>
      <c r="W64" s="21">
        <f>ROUND('Forecast Parameters'!X56*(1/'Baseline Building Energy'!$B$199),0)</f>
        <v>12481355</v>
      </c>
      <c r="X64" s="21">
        <f>ROUND('Forecast Parameters'!Y56*(1/'Baseline Building Energy'!$B$199),0)</f>
        <v>12561807</v>
      </c>
      <c r="Y64" s="21">
        <f>ROUND('Forecast Parameters'!Z56*(1/'Baseline Building Energy'!$B$199),0)</f>
        <v>12642779</v>
      </c>
      <c r="Z64" s="21">
        <f>ROUND('Forecast Parameters'!AA56*(1/'Baseline Building Energy'!$B$199),0)</f>
        <v>12724272</v>
      </c>
      <c r="AA64" s="21">
        <f>ROUND('Forecast Parameters'!AB56*(1/'Baseline Building Energy'!$B$199),0)</f>
        <v>12806291</v>
      </c>
      <c r="AB64" s="21">
        <f>ROUND('Forecast Parameters'!AC56*(1/'Baseline Building Energy'!$B$199),0)</f>
        <v>12888838</v>
      </c>
      <c r="AC64" s="21">
        <f>ROUND('Forecast Parameters'!AD56*(1/'Baseline Building Energy'!$B$199),0)</f>
        <v>12971917</v>
      </c>
    </row>
    <row r="65" spans="1:29" x14ac:dyDescent="0.7">
      <c r="A65" s="173" t="s">
        <v>394</v>
      </c>
      <c r="B65" s="21">
        <f>SUM($B$64:B64)</f>
        <v>0</v>
      </c>
      <c r="C65" s="21">
        <f>SUM($B$64:C64)</f>
        <v>10961238</v>
      </c>
      <c r="D65" s="21">
        <f>SUM($B$64:D64)</f>
        <v>21997690</v>
      </c>
      <c r="E65" s="21">
        <f>SUM($B$64:E64)</f>
        <v>33109356</v>
      </c>
      <c r="F65" s="21">
        <f>SUM($B$64:F64)</f>
        <v>44296237</v>
      </c>
      <c r="G65" s="21">
        <f>SUM($B$64:G64)</f>
        <v>55558332</v>
      </c>
      <c r="H65" s="21">
        <f>SUM($B$64:H64)</f>
        <v>66895641</v>
      </c>
      <c r="I65" s="21">
        <f>SUM($B$64:I64)</f>
        <v>78308164</v>
      </c>
      <c r="J65" s="21">
        <f>SUM($B$64:J64)</f>
        <v>89795901</v>
      </c>
      <c r="K65" s="21">
        <f>SUM($B$64:K64)</f>
        <v>101358852</v>
      </c>
      <c r="L65" s="21">
        <f>SUM($B$64:L64)</f>
        <v>112997017</v>
      </c>
      <c r="M65" s="21">
        <f>SUM($B$64:M64)</f>
        <v>124710396</v>
      </c>
      <c r="N65" s="21">
        <f>SUM($B$64:N64)</f>
        <v>136498989</v>
      </c>
      <c r="O65" s="21">
        <f>SUM($B$64:O64)</f>
        <v>148362796</v>
      </c>
      <c r="P65" s="21">
        <f>SUM($B$64:P64)</f>
        <v>160301817</v>
      </c>
      <c r="Q65" s="21">
        <f>SUM($B$64:Q64)</f>
        <v>172316052</v>
      </c>
      <c r="R65" s="21">
        <f>SUM($B$64:R64)</f>
        <v>184405501</v>
      </c>
      <c r="S65" s="21">
        <f>SUM($B$64:S64)</f>
        <v>196570164</v>
      </c>
      <c r="T65" s="21">
        <f>SUM($B$64:T64)</f>
        <v>208813239</v>
      </c>
      <c r="U65" s="21">
        <f>SUM($B$64:U64)</f>
        <v>221135230</v>
      </c>
      <c r="V65" s="21">
        <f>SUM($B$64:V64)</f>
        <v>233536647</v>
      </c>
      <c r="W65" s="21">
        <f>SUM($B$64:W64)</f>
        <v>246018002</v>
      </c>
      <c r="X65" s="21">
        <f>SUM($B$64:X64)</f>
        <v>258579809</v>
      </c>
      <c r="Y65" s="21">
        <f>SUM($B$64:Y64)</f>
        <v>271222588</v>
      </c>
      <c r="Z65" s="21">
        <f>SUM($B$64:Z64)</f>
        <v>283946860</v>
      </c>
      <c r="AA65" s="21">
        <f>SUM($B$64:AA64)</f>
        <v>296753151</v>
      </c>
      <c r="AB65" s="21">
        <f>SUM($B$64:AB64)</f>
        <v>309641989</v>
      </c>
      <c r="AC65" s="21">
        <f>SUM($B$64:AC64)</f>
        <v>322613906</v>
      </c>
    </row>
    <row r="66" spans="1:29" ht="40.799999999999997" x14ac:dyDescent="0.7">
      <c r="A66" s="173" t="s">
        <v>393</v>
      </c>
      <c r="B66" s="21"/>
      <c r="C66" s="21" t="str">
        <f>IF(C65&gt;='Forecast Parameters'!D56,"X","")</f>
        <v/>
      </c>
      <c r="D66" s="21" t="str">
        <f>IF(D65&gt;='Forecast Parameters'!E56,"X","")</f>
        <v/>
      </c>
      <c r="E66" s="21" t="str">
        <f>IF(E65&gt;='Forecast Parameters'!F56,"X","")</f>
        <v/>
      </c>
      <c r="F66" s="21" t="str">
        <f>IF(F65&gt;='Forecast Parameters'!G56,"X","")</f>
        <v/>
      </c>
      <c r="G66" s="21" t="str">
        <f>IF(G65&gt;='Forecast Parameters'!H56,"X","")</f>
        <v/>
      </c>
      <c r="H66" s="21" t="str">
        <f>IF(H65&gt;='Forecast Parameters'!I56,"X","")</f>
        <v/>
      </c>
      <c r="I66" s="21" t="str">
        <f>IF(I65&gt;='Forecast Parameters'!J56,"X","")</f>
        <v/>
      </c>
      <c r="J66" s="21" t="str">
        <f>IF(J65&gt;='Forecast Parameters'!K56,"X","")</f>
        <v/>
      </c>
      <c r="K66" s="21" t="str">
        <f>IF(K65&gt;='Forecast Parameters'!L56,"X","")</f>
        <v/>
      </c>
      <c r="L66" s="21" t="str">
        <f>IF(L65&gt;='Forecast Parameters'!M56,"X","")</f>
        <v/>
      </c>
      <c r="M66" s="21" t="str">
        <f>IF(M65&gt;='Forecast Parameters'!N56,"X","")</f>
        <v/>
      </c>
      <c r="N66" s="21" t="str">
        <f>IF(N65&gt;='Forecast Parameters'!O56,"X","")</f>
        <v/>
      </c>
      <c r="O66" s="21" t="str">
        <f>IF(O65&gt;='Forecast Parameters'!P56,"X","")</f>
        <v/>
      </c>
      <c r="P66" s="21" t="str">
        <f>IF(P65&gt;='Forecast Parameters'!Q56,"X","")</f>
        <v/>
      </c>
      <c r="Q66" s="21" t="str">
        <f>IF(Q65&gt;='Forecast Parameters'!R56,"X","")</f>
        <v>X</v>
      </c>
      <c r="R66" s="21" t="str">
        <f>IF(R65&gt;='Forecast Parameters'!S56,"X","")</f>
        <v>X</v>
      </c>
      <c r="S66" s="21" t="str">
        <f>IF(S65&gt;='Forecast Parameters'!T56,"X","")</f>
        <v>X</v>
      </c>
      <c r="T66" s="21" t="str">
        <f>IF(T65&gt;='Forecast Parameters'!U56,"X","")</f>
        <v>X</v>
      </c>
      <c r="U66" s="21" t="str">
        <f>IF(U65&gt;='Forecast Parameters'!V56,"X","")</f>
        <v>X</v>
      </c>
      <c r="V66" s="21" t="str">
        <f>IF(V65&gt;='Forecast Parameters'!W56,"X","")</f>
        <v>X</v>
      </c>
      <c r="W66" s="21" t="str">
        <f>IF(W65&gt;='Forecast Parameters'!X56,"X","")</f>
        <v>X</v>
      </c>
      <c r="X66" s="21" t="str">
        <f>IF(X65&gt;='Forecast Parameters'!Y56,"X","")</f>
        <v>X</v>
      </c>
      <c r="Y66" s="21" t="str">
        <f>IF(Y65&gt;='Forecast Parameters'!Z56,"X","")</f>
        <v>X</v>
      </c>
      <c r="Z66" s="21" t="str">
        <f>IF(Z65&gt;='Forecast Parameters'!AA56,"X","")</f>
        <v>X</v>
      </c>
      <c r="AA66" s="21" t="str">
        <f>IF(AA65&gt;='Forecast Parameters'!AB56,"X","")</f>
        <v>X</v>
      </c>
      <c r="AB66" s="21" t="str">
        <f>IF(AB65&gt;='Forecast Parameters'!AC56,"X","")</f>
        <v>X</v>
      </c>
      <c r="AC66" s="21" t="str">
        <f>IF(AC65&gt;='Forecast Parameters'!AD56,"X","")</f>
        <v>X</v>
      </c>
    </row>
    <row r="67" spans="1:29" x14ac:dyDescent="0.7">
      <c r="A67" s="498" t="s">
        <v>370</v>
      </c>
      <c r="B67" s="499"/>
      <c r="C67" s="499"/>
      <c r="D67" s="499"/>
      <c r="E67" s="499"/>
      <c r="F67" s="499"/>
      <c r="G67" s="499"/>
      <c r="H67" s="499"/>
      <c r="I67" s="499"/>
      <c r="J67" s="499"/>
      <c r="K67" s="499"/>
      <c r="L67" s="499"/>
      <c r="M67" s="499"/>
      <c r="N67" s="499"/>
      <c r="O67" s="499"/>
      <c r="P67" s="499"/>
      <c r="Q67" s="499"/>
      <c r="R67" s="499"/>
      <c r="S67" s="499"/>
      <c r="T67" s="499"/>
      <c r="U67" s="499"/>
      <c r="V67" s="499"/>
      <c r="W67" s="499"/>
      <c r="X67" s="499"/>
      <c r="Y67" s="499"/>
      <c r="Z67" s="499"/>
      <c r="AA67" s="499"/>
      <c r="AB67" s="499"/>
      <c r="AC67" s="500"/>
    </row>
    <row r="68" spans="1:29" x14ac:dyDescent="0.7">
      <c r="A68" s="170" t="s">
        <v>395</v>
      </c>
      <c r="B68" s="21">
        <f t="shared" ref="B68:AC68" si="19">B64*$B$221</f>
        <v>0</v>
      </c>
      <c r="C68" s="21">
        <f t="shared" si="19"/>
        <v>665777.83927556127</v>
      </c>
      <c r="D68" s="21">
        <f t="shared" si="19"/>
        <v>670346.2844095208</v>
      </c>
      <c r="E68" s="21">
        <f t="shared" si="19"/>
        <v>674914.72954348032</v>
      </c>
      <c r="F68" s="21">
        <f t="shared" si="19"/>
        <v>679483.23541673215</v>
      </c>
      <c r="G68" s="21">
        <f t="shared" si="19"/>
        <v>684051.68055069167</v>
      </c>
      <c r="H68" s="21">
        <f t="shared" si="19"/>
        <v>688620.1256846512</v>
      </c>
      <c r="I68" s="21">
        <f t="shared" si="19"/>
        <v>693188.57081861072</v>
      </c>
      <c r="J68" s="21">
        <f t="shared" si="19"/>
        <v>697757.01595257013</v>
      </c>
      <c r="K68" s="21">
        <f t="shared" si="19"/>
        <v>702325.46108652966</v>
      </c>
      <c r="L68" s="21">
        <f t="shared" si="19"/>
        <v>706893.90622048918</v>
      </c>
      <c r="M68" s="21">
        <f t="shared" si="19"/>
        <v>711462.35135444871</v>
      </c>
      <c r="N68" s="21">
        <f t="shared" si="19"/>
        <v>716030.79648840823</v>
      </c>
      <c r="O68" s="21">
        <f t="shared" si="19"/>
        <v>720599.24162236776</v>
      </c>
      <c r="P68" s="21">
        <f t="shared" si="19"/>
        <v>725167.68675632728</v>
      </c>
      <c r="Q68" s="21">
        <f t="shared" si="19"/>
        <v>729736.13189028681</v>
      </c>
      <c r="R68" s="21">
        <f t="shared" si="19"/>
        <v>734304.57702424622</v>
      </c>
      <c r="S68" s="21">
        <f t="shared" si="19"/>
        <v>738873.02215820574</v>
      </c>
      <c r="T68" s="21">
        <f t="shared" si="19"/>
        <v>743635.71154906426</v>
      </c>
      <c r="U68" s="21">
        <f t="shared" si="19"/>
        <v>748429.01354326145</v>
      </c>
      <c r="V68" s="21">
        <f t="shared" si="19"/>
        <v>753253.29257655144</v>
      </c>
      <c r="W68" s="21">
        <f t="shared" si="19"/>
        <v>758108.67012751871</v>
      </c>
      <c r="X68" s="21">
        <f t="shared" si="19"/>
        <v>762995.26767474809</v>
      </c>
      <c r="Y68" s="21">
        <f t="shared" si="19"/>
        <v>767913.44965399359</v>
      </c>
      <c r="Z68" s="21">
        <f t="shared" si="19"/>
        <v>772863.27680454752</v>
      </c>
      <c r="AA68" s="21">
        <f t="shared" si="19"/>
        <v>777845.0528228716</v>
      </c>
      <c r="AB68" s="21">
        <f t="shared" si="19"/>
        <v>782858.89918755041</v>
      </c>
      <c r="AC68" s="21">
        <f t="shared" si="19"/>
        <v>787905.05885575339</v>
      </c>
    </row>
    <row r="69" spans="1:29" x14ac:dyDescent="0.7">
      <c r="A69" s="170" t="s">
        <v>396</v>
      </c>
      <c r="B69" s="21">
        <f>B68*B$63</f>
        <v>0</v>
      </c>
      <c r="C69" s="21">
        <f t="shared" ref="C69:O69" si="20">C68*C63</f>
        <v>83610.333909961468</v>
      </c>
      <c r="D69" s="21">
        <f t="shared" si="20"/>
        <v>84129.990246957794</v>
      </c>
      <c r="E69" s="21">
        <f t="shared" si="20"/>
        <v>84705.375269163051</v>
      </c>
      <c r="F69" s="21">
        <f t="shared" si="20"/>
        <v>85294.790013000151</v>
      </c>
      <c r="G69" s="21">
        <f t="shared" si="20"/>
        <v>85875.912722684152</v>
      </c>
      <c r="H69" s="21">
        <f t="shared" si="20"/>
        <v>86451.004639578357</v>
      </c>
      <c r="I69" s="21">
        <f t="shared" si="20"/>
        <v>87039.436181266079</v>
      </c>
      <c r="J69" s="21">
        <f t="shared" si="20"/>
        <v>87588.5957546602</v>
      </c>
      <c r="K69" s="21">
        <f t="shared" si="20"/>
        <v>88160.565661015236</v>
      </c>
      <c r="L69" s="21">
        <f t="shared" si="20"/>
        <v>88742.292002649003</v>
      </c>
      <c r="M69" s="21">
        <f t="shared" si="20"/>
        <v>89333.1739535776</v>
      </c>
      <c r="N69" s="21">
        <f t="shared" si="20"/>
        <v>89914.60344951709</v>
      </c>
      <c r="O69" s="21">
        <f t="shared" si="20"/>
        <v>90568.727855642312</v>
      </c>
      <c r="P69" s="21">
        <f>(P68-B69)*P$63</f>
        <v>91180.233097905599</v>
      </c>
      <c r="Q69" s="21">
        <f t="shared" ref="Q69:AC69" si="21">(Q68-C69)*Q63</f>
        <v>81265.950966878023</v>
      </c>
      <c r="R69" s="21">
        <f t="shared" si="21"/>
        <v>81817.741997648074</v>
      </c>
      <c r="S69" s="21">
        <f t="shared" si="21"/>
        <v>82405.800552782952</v>
      </c>
      <c r="T69" s="21">
        <f t="shared" si="21"/>
        <v>82934.685864501109</v>
      </c>
      <c r="U69" s="21">
        <f t="shared" si="21"/>
        <v>83470.816351024885</v>
      </c>
      <c r="V69" s="21">
        <f t="shared" si="21"/>
        <v>84027.47723974126</v>
      </c>
      <c r="W69" s="21">
        <f t="shared" si="21"/>
        <v>84531.849491002518</v>
      </c>
      <c r="X69" s="21">
        <f t="shared" si="21"/>
        <v>85070.358916045036</v>
      </c>
      <c r="Y69" s="21">
        <f t="shared" si="21"/>
        <v>85587.447880840598</v>
      </c>
      <c r="Z69" s="21">
        <f t="shared" si="21"/>
        <v>86131.840668221426</v>
      </c>
      <c r="AA69" s="21">
        <f t="shared" si="21"/>
        <v>86647.67612703648</v>
      </c>
      <c r="AB69" s="21">
        <f t="shared" si="21"/>
        <v>87212.270183917906</v>
      </c>
      <c r="AC69" s="21">
        <f t="shared" si="21"/>
        <v>87736.320047660891</v>
      </c>
    </row>
    <row r="70" spans="1:29" x14ac:dyDescent="0.7">
      <c r="A70" s="170" t="s">
        <v>373</v>
      </c>
      <c r="B70" s="21">
        <f>((B69*$B$217/'Emission Factors and Constants'!$A$7)/'Forecast Parameters'!$B$132)*'Forecast Parameters'!E$132</f>
        <v>0</v>
      </c>
      <c r="C70" s="21">
        <f>((C69*$B$217/'Emission Factors and Constants'!$A$7)/'Forecast Parameters'!$B$132)*'Forecast Parameters'!F132</f>
        <v>357.35481387179635</v>
      </c>
      <c r="D70" s="21">
        <f>((D69*$B$217/'Emission Factors and Constants'!$A$7)/'Forecast Parameters'!$B$132)*'Forecast Parameters'!G132</f>
        <v>359.03007479768479</v>
      </c>
      <c r="E70" s="21">
        <f>((E69*$B$217/'Emission Factors and Constants'!$A$7)/'Forecast Parameters'!$B$132)*'Forecast Parameters'!H132</f>
        <v>360.09347655976109</v>
      </c>
      <c r="F70" s="21">
        <f>((F69*$B$217/'Emission Factors and Constants'!$A$7)/'Forecast Parameters'!$B$132)*'Forecast Parameters'!I132</f>
        <v>361.19737757836066</v>
      </c>
      <c r="G70" s="21">
        <f>((G69*$B$217/'Emission Factors and Constants'!$A$7)/'Forecast Parameters'!$B$132)*'Forecast Parameters'!J132</f>
        <v>362.24692716972686</v>
      </c>
      <c r="H70" s="21">
        <f>((H69*$B$217/'Emission Factors and Constants'!$A$7)/'Forecast Parameters'!$B$132)*'Forecast Parameters'!K132</f>
        <v>363.2520355017391</v>
      </c>
      <c r="I70" s="21">
        <f>((I69*$B$217/'Emission Factors and Constants'!$A$7)/'Forecast Parameters'!$B$132)*'Forecast Parameters'!L132</f>
        <v>364.29407268494543</v>
      </c>
      <c r="J70" s="21">
        <f>((J69*$B$217/'Emission Factors and Constants'!$A$7)/'Forecast Parameters'!$B$132)*'Forecast Parameters'!M132</f>
        <v>367.42590027115961</v>
      </c>
      <c r="K70" s="21">
        <f>((K69*$B$217/'Emission Factors and Constants'!$A$7)/'Forecast Parameters'!$B$132)*'Forecast Parameters'!N132</f>
        <v>370.66408227471021</v>
      </c>
      <c r="L70" s="21">
        <f>((L69*$B$217/'Emission Factors and Constants'!$A$7)/'Forecast Parameters'!$B$132)*'Forecast Parameters'!O132</f>
        <v>373.95426151869106</v>
      </c>
      <c r="M70" s="21">
        <f>((M69*$B$217/'Emission Factors and Constants'!$A$7)/'Forecast Parameters'!$B$132)*'Forecast Parameters'!P132</f>
        <v>377.29417893364314</v>
      </c>
      <c r="N70" s="21">
        <f>((N69*$B$217/'Emission Factors and Constants'!$A$7)/'Forecast Parameters'!$B$132)*'Forecast Parameters'!Q132</f>
        <v>380.60532858207068</v>
      </c>
      <c r="O70" s="21">
        <f>((O69*$B$217/'Emission Factors and Constants'!$A$7)/'Forecast Parameters'!$B$132)*'Forecast Parameters'!R132</f>
        <v>382.57123352819224</v>
      </c>
      <c r="P70" s="21">
        <f>((P69*$B$217/'Emission Factors and Constants'!$A$7)/'Forecast Parameters'!$B$132)*'Forecast Parameters'!S132</f>
        <v>384.34588987896086</v>
      </c>
      <c r="Q70" s="21">
        <f>((Q69*$B$217/'Emission Factors and Constants'!$A$7)/'Forecast Parameters'!$B$132)*'Forecast Parameters'!T132</f>
        <v>341.83438251411411</v>
      </c>
      <c r="R70" s="21">
        <f>((R69*$B$217/'Emission Factors and Constants'!$A$7)/'Forecast Parameters'!$B$132)*'Forecast Parameters'!U132</f>
        <v>343.43002346694948</v>
      </c>
      <c r="S70" s="21">
        <f>((S69*$B$217/'Emission Factors and Constants'!$A$7)/'Forecast Parameters'!$B$132)*'Forecast Parameters'!V132</f>
        <v>345.16779149317802</v>
      </c>
      <c r="T70" s="21">
        <f>((T69*$B$217/'Emission Factors and Constants'!$A$7)/'Forecast Parameters'!$B$132)*'Forecast Parameters'!W132</f>
        <v>343.50933789837632</v>
      </c>
      <c r="U70" s="21">
        <f>((U69*$B$217/'Emission Factors and Constants'!$A$7)/'Forecast Parameters'!$B$132)*'Forecast Parameters'!X132</f>
        <v>341.83114791247414</v>
      </c>
      <c r="V70" s="21">
        <f>((V69*$B$217/'Emission Factors and Constants'!$A$7)/'Forecast Parameters'!$B$132)*'Forecast Parameters'!Y132</f>
        <v>340.18599166177893</v>
      </c>
      <c r="W70" s="21">
        <f>((W69*$B$217/'Emission Factors and Constants'!$A$7)/'Forecast Parameters'!$B$132)*'Forecast Parameters'!Z132</f>
        <v>338.27958505034536</v>
      </c>
      <c r="X70" s="21">
        <f>((X69*$B$217/'Emission Factors and Constants'!$A$7)/'Forecast Parameters'!$B$132)*'Forecast Parameters'!AA132</f>
        <v>336.46107707670075</v>
      </c>
      <c r="Y70" s="21">
        <f>((Y69*$B$217/'Emission Factors and Constants'!$A$7)/'Forecast Parameters'!$B$132)*'Forecast Parameters'!AB132</f>
        <v>337.37724042772578</v>
      </c>
      <c r="Z70" s="21">
        <f>((Z69*$B$217/'Emission Factors and Constants'!$A$7)/'Forecast Parameters'!$B$132)*'Forecast Parameters'!AC132</f>
        <v>338.38703089862008</v>
      </c>
      <c r="AA70" s="21">
        <f>((AA69*$B$217/'Emission Factors and Constants'!$A$7)/'Forecast Parameters'!$B$132)*'Forecast Parameters'!AD132</f>
        <v>339.27064259585984</v>
      </c>
      <c r="AB70" s="21">
        <f>((AB69*$B$217/'Emission Factors and Constants'!$A$7)/'Forecast Parameters'!$B$132)*'Forecast Parameters'!AE132</f>
        <v>340.33091774089132</v>
      </c>
      <c r="AC70" s="21">
        <f>((AC69*$B$217/'Emission Factors and Constants'!$A$7)/'Forecast Parameters'!$B$132)*'Forecast Parameters'!AF132</f>
        <v>341.21861599426092</v>
      </c>
    </row>
    <row r="71" spans="1:29" x14ac:dyDescent="0.7">
      <c r="A71" s="170" t="s">
        <v>379</v>
      </c>
      <c r="B71" s="21">
        <f>B70*($B$201/'Forecast Parameters'!G$204)</f>
        <v>0</v>
      </c>
      <c r="C71" s="21">
        <f>C70*($B$201/'Forecast Parameters'!H$204)</f>
        <v>92.819432174492576</v>
      </c>
      <c r="D71" s="21">
        <f>D70*($B$201/'Forecast Parameters'!I$204)</f>
        <v>92.6529225284348</v>
      </c>
      <c r="E71" s="21">
        <f>E70*($B$201/'Forecast Parameters'!J$204)</f>
        <v>92.331660656349001</v>
      </c>
      <c r="F71" s="21">
        <f>F70*($B$201/'Forecast Parameters'!K$204)</f>
        <v>92.024809574104623</v>
      </c>
      <c r="G71" s="21">
        <f>G70*($B$201/'Forecast Parameters'!L$204)</f>
        <v>91.708082827778952</v>
      </c>
      <c r="H71" s="21">
        <f>H70*($B$201/'Forecast Parameters'!M$204)</f>
        <v>91.384159874651345</v>
      </c>
      <c r="I71" s="21">
        <f>I70*($B$201/'Forecast Parameters'!N$204)</f>
        <v>91.073518171236358</v>
      </c>
      <c r="J71" s="21">
        <f>J70*($B$201/'Forecast Parameters'!O$204)</f>
        <v>91.51330019206965</v>
      </c>
      <c r="K71" s="21">
        <f>K70*($B$201/'Forecast Parameters'!P$204)</f>
        <v>91.976199075610495</v>
      </c>
      <c r="L71" s="21">
        <f>L70*($B$201/'Forecast Parameters'!Q$204)</f>
        <v>92.448519534905088</v>
      </c>
      <c r="M71" s="21">
        <f>M70*($B$201/'Forecast Parameters'!R$204)</f>
        <v>92.929600722572218</v>
      </c>
      <c r="N71" s="21">
        <f>N70*($B$201/'Forecast Parameters'!S$204)</f>
        <v>93.400080633637003</v>
      </c>
      <c r="O71" s="21">
        <f>O70*($B$201/'Forecast Parameters'!T$204)</f>
        <v>93.538198906648475</v>
      </c>
      <c r="P71" s="21">
        <f>P70*($B$201/'Forecast Parameters'!U$204)</f>
        <v>93.628718606324199</v>
      </c>
      <c r="Q71" s="21">
        <f>Q70*($B$201/'Forecast Parameters'!V$204)</f>
        <v>82.969510318959735</v>
      </c>
      <c r="R71" s="21">
        <f>R70*($B$201/'Forecast Parameters'!W$204)</f>
        <v>83.054419218125631</v>
      </c>
      <c r="S71" s="21">
        <f>S70*($B$201/'Forecast Parameters'!X$204)</f>
        <v>83.172961805585061</v>
      </c>
      <c r="T71" s="21">
        <f>T70*($B$201/'Forecast Parameters'!Y$204)</f>
        <v>82.574360071725067</v>
      </c>
      <c r="U71" s="21">
        <f>U70*($B$201/'Forecast Parameters'!Z$204)</f>
        <v>81.973896381888281</v>
      </c>
      <c r="V71" s="21">
        <f>V70*($B$201/'Forecast Parameters'!AA$204)</f>
        <v>81.38420853152607</v>
      </c>
      <c r="W71" s="21">
        <f>W70*($B$201/'Forecast Parameters'!AB$204)</f>
        <v>80.734984498889119</v>
      </c>
      <c r="X71" s="21">
        <f>X70*($B$201/'Forecast Parameters'!AC$204)</f>
        <v>80.10978025635734</v>
      </c>
      <c r="Y71" s="21">
        <f>Y70*($B$201/'Forecast Parameters'!AD$204)</f>
        <v>80.137111740552456</v>
      </c>
      <c r="Z71" s="21">
        <f>Z70*($B$201/'Forecast Parameters'!AE$204)</f>
        <v>80.186500212943173</v>
      </c>
      <c r="AA71" s="21">
        <f>AA70*($B$201/'Forecast Parameters'!AF$204)</f>
        <v>80.205825672780122</v>
      </c>
      <c r="AB71" s="21">
        <f>AB70*($B$201/'Forecast Parameters'!AG$204)</f>
        <v>80.266725882285684</v>
      </c>
      <c r="AC71" s="21">
        <f>AC70*($B$201/'Forecast Parameters'!AH$204)</f>
        <v>80.286733175120219</v>
      </c>
    </row>
    <row r="72" spans="1:29" x14ac:dyDescent="0.7">
      <c r="A72" s="501" t="s">
        <v>38</v>
      </c>
      <c r="B72" s="502"/>
      <c r="C72" s="502"/>
      <c r="D72" s="502"/>
      <c r="E72" s="502"/>
      <c r="F72" s="502"/>
      <c r="G72" s="502"/>
      <c r="H72" s="502"/>
      <c r="I72" s="502"/>
      <c r="J72" s="502"/>
      <c r="K72" s="502"/>
      <c r="L72" s="502"/>
      <c r="M72" s="502"/>
      <c r="N72" s="502"/>
      <c r="O72" s="502"/>
      <c r="P72" s="502"/>
      <c r="Q72" s="502"/>
      <c r="R72" s="502"/>
      <c r="S72" s="502"/>
      <c r="T72" s="502"/>
      <c r="U72" s="502"/>
      <c r="V72" s="502"/>
      <c r="W72" s="502"/>
      <c r="X72" s="502"/>
      <c r="Y72" s="502"/>
      <c r="Z72" s="502"/>
      <c r="AA72" s="502"/>
      <c r="AB72" s="502"/>
      <c r="AC72" s="503"/>
    </row>
    <row r="73" spans="1:29" x14ac:dyDescent="0.7">
      <c r="A73" s="170" t="s">
        <v>397</v>
      </c>
      <c r="B73" s="21">
        <f t="shared" ref="B73:AC73" si="22">B64*$B$218</f>
        <v>0</v>
      </c>
      <c r="C73" s="21">
        <f t="shared" si="22"/>
        <v>9698799.9384231642</v>
      </c>
      <c r="D73" s="21">
        <f t="shared" si="22"/>
        <v>9765351.3205360752</v>
      </c>
      <c r="E73" s="21">
        <f t="shared" si="22"/>
        <v>9831902.7026489861</v>
      </c>
      <c r="F73" s="21">
        <f t="shared" si="22"/>
        <v>9898454.9695889521</v>
      </c>
      <c r="G73" s="21">
        <f t="shared" si="22"/>
        <v>9965006.3517018631</v>
      </c>
      <c r="H73" s="21">
        <f t="shared" si="22"/>
        <v>10031557.733814774</v>
      </c>
      <c r="I73" s="21">
        <f t="shared" si="22"/>
        <v>10098109.115927685</v>
      </c>
      <c r="J73" s="21">
        <f t="shared" si="22"/>
        <v>10164660.498040596</v>
      </c>
      <c r="K73" s="21">
        <f t="shared" si="22"/>
        <v>10231211.880153507</v>
      </c>
      <c r="L73" s="21">
        <f t="shared" si="22"/>
        <v>10297763.262266418</v>
      </c>
      <c r="M73" s="21">
        <f t="shared" si="22"/>
        <v>10364314.644379329</v>
      </c>
      <c r="N73" s="21">
        <f t="shared" si="22"/>
        <v>10430866.02649224</v>
      </c>
      <c r="O73" s="21">
        <f t="shared" si="22"/>
        <v>10497417.408605151</v>
      </c>
      <c r="P73" s="21">
        <f t="shared" si="22"/>
        <v>10563968.790718062</v>
      </c>
      <c r="Q73" s="21">
        <f t="shared" si="22"/>
        <v>10630520.172830973</v>
      </c>
      <c r="R73" s="21">
        <f t="shared" si="22"/>
        <v>10697071.554943884</v>
      </c>
      <c r="S73" s="21">
        <f t="shared" si="22"/>
        <v>10763622.937056795</v>
      </c>
      <c r="T73" s="21">
        <f t="shared" si="22"/>
        <v>10833003.996091517</v>
      </c>
      <c r="U73" s="21">
        <f t="shared" si="22"/>
        <v>10902831.007961947</v>
      </c>
      <c r="V73" s="21">
        <f t="shared" si="22"/>
        <v>10973109.281630414</v>
      </c>
      <c r="W73" s="21">
        <f t="shared" si="22"/>
        <v>11043840.586751027</v>
      </c>
      <c r="X73" s="21">
        <f t="shared" si="22"/>
        <v>11115026.6929779</v>
      </c>
      <c r="Y73" s="21">
        <f t="shared" si="22"/>
        <v>11186672.909273358</v>
      </c>
      <c r="Z73" s="21">
        <f t="shared" si="22"/>
        <v>11258780.120464459</v>
      </c>
      <c r="AA73" s="21">
        <f t="shared" si="22"/>
        <v>11331352.750686476</v>
      </c>
      <c r="AB73" s="21">
        <f t="shared" si="22"/>
        <v>11404392.569593521</v>
      </c>
      <c r="AC73" s="21">
        <f t="shared" si="22"/>
        <v>11477903.116493812</v>
      </c>
    </row>
    <row r="74" spans="1:29" x14ac:dyDescent="0.7">
      <c r="A74" s="170" t="s">
        <v>398</v>
      </c>
      <c r="B74" s="21">
        <f>B73*B$63</f>
        <v>0</v>
      </c>
      <c r="C74" s="21">
        <f t="shared" ref="C74:O74" si="23">C73*C$63</f>
        <v>1218003.7447023524</v>
      </c>
      <c r="D74" s="21">
        <f t="shared" si="23"/>
        <v>1225573.9018207467</v>
      </c>
      <c r="E74" s="21">
        <f t="shared" si="23"/>
        <v>1233955.8933631601</v>
      </c>
      <c r="F74" s="21">
        <f t="shared" si="23"/>
        <v>1242542.2645879115</v>
      </c>
      <c r="G74" s="21">
        <f t="shared" si="23"/>
        <v>1251007.8405930132</v>
      </c>
      <c r="H74" s="21">
        <f t="shared" si="23"/>
        <v>1259385.5622880312</v>
      </c>
      <c r="I74" s="21">
        <f t="shared" si="23"/>
        <v>1267957.6105954621</v>
      </c>
      <c r="J74" s="21">
        <f t="shared" si="23"/>
        <v>1275957.559711244</v>
      </c>
      <c r="K74" s="21">
        <f t="shared" si="23"/>
        <v>1284289.8011366604</v>
      </c>
      <c r="L74" s="21">
        <f t="shared" si="23"/>
        <v>1292764.1706238692</v>
      </c>
      <c r="M74" s="21">
        <f t="shared" si="23"/>
        <v>1301371.9155670132</v>
      </c>
      <c r="N74" s="21">
        <f t="shared" si="23"/>
        <v>1309841.9607183379</v>
      </c>
      <c r="O74" s="21">
        <f t="shared" si="23"/>
        <v>1319370.9978469266</v>
      </c>
      <c r="P74" s="21">
        <f>(P73-B74)*P$63</f>
        <v>1328279.1751038658</v>
      </c>
      <c r="Q74" s="21">
        <f t="shared" ref="Q74:AC74" si="24">(Q73-C74)*Q$63</f>
        <v>1183851.6600238369</v>
      </c>
      <c r="R74" s="21">
        <f t="shared" si="24"/>
        <v>1191889.9432161376</v>
      </c>
      <c r="S74" s="21">
        <f t="shared" si="24"/>
        <v>1200456.5579964335</v>
      </c>
      <c r="T74" s="21">
        <f t="shared" si="24"/>
        <v>1208161.159330576</v>
      </c>
      <c r="U74" s="21">
        <f t="shared" si="24"/>
        <v>1215971.3056330446</v>
      </c>
      <c r="V74" s="21">
        <f t="shared" si="24"/>
        <v>1224080.5310753928</v>
      </c>
      <c r="W74" s="21">
        <f t="shared" si="24"/>
        <v>1231428.0354092675</v>
      </c>
      <c r="X74" s="21">
        <f t="shared" si="24"/>
        <v>1239272.8371889808</v>
      </c>
      <c r="Y74" s="21">
        <f t="shared" si="24"/>
        <v>1246805.5937994677</v>
      </c>
      <c r="Z74" s="21">
        <f t="shared" si="24"/>
        <v>1254736.1021781671</v>
      </c>
      <c r="AA74" s="21">
        <f t="shared" si="24"/>
        <v>1262250.5981872799</v>
      </c>
      <c r="AB74" s="21">
        <f t="shared" si="24"/>
        <v>1270475.391025194</v>
      </c>
      <c r="AC74" s="21">
        <f t="shared" si="24"/>
        <v>1278109.5513807437</v>
      </c>
    </row>
    <row r="75" spans="1:29" x14ac:dyDescent="0.7">
      <c r="A75" s="170" t="s">
        <v>376</v>
      </c>
      <c r="B75" s="21">
        <f>((B74*$B$215/'Emission Factors and Constants'!$A$7)/'Forecast Parameters'!$B$132)*'Forecast Parameters'!E$132</f>
        <v>0</v>
      </c>
      <c r="C75" s="21">
        <f>((C74*$B$215/'Emission Factors and Constants'!$A$7)/'Forecast Parameters'!$B$132)*'Forecast Parameters'!F$132</f>
        <v>33414.035443176217</v>
      </c>
      <c r="D75" s="21">
        <f>((D74*$B$215/'Emission Factors and Constants'!$A$7)/'Forecast Parameters'!$B$132)*'Forecast Parameters'!G$132</f>
        <v>33570.67871697939</v>
      </c>
      <c r="E75" s="21">
        <f>((E74*$B$215/'Emission Factors and Constants'!$A$7)/'Forecast Parameters'!$B$132)*'Forecast Parameters'!H$132</f>
        <v>33670.110829795711</v>
      </c>
      <c r="F75" s="21">
        <f>((F74*$B$215/'Emission Factors and Constants'!$A$7)/'Forecast Parameters'!$B$132)*'Forecast Parameters'!I$132</f>
        <v>33773.329777265877</v>
      </c>
      <c r="G75" s="21">
        <f>((G74*$B$215/'Emission Factors and Constants'!$A$7)/'Forecast Parameters'!$B$132)*'Forecast Parameters'!J$132</f>
        <v>33871.466659389604</v>
      </c>
      <c r="H75" s="21">
        <f>((H74*$B$215/'Emission Factors and Constants'!$A$7)/'Forecast Parameters'!$B$132)*'Forecast Parameters'!K$132</f>
        <v>33965.448114588733</v>
      </c>
      <c r="I75" s="21">
        <f>((I74*$B$215/'Emission Factors and Constants'!$A$7)/'Forecast Parameters'!$B$132)*'Forecast Parameters'!L$132</f>
        <v>34062.882557951962</v>
      </c>
      <c r="J75" s="21">
        <f>((J74*$B$215/'Emission Factors and Constants'!$A$7)/'Forecast Parameters'!$B$132)*'Forecast Parameters'!M$132</f>
        <v>34355.720359222556</v>
      </c>
      <c r="K75" s="21">
        <f>((K74*$B$215/'Emission Factors and Constants'!$A$7)/'Forecast Parameters'!$B$132)*'Forecast Parameters'!N$132</f>
        <v>34658.502703374528</v>
      </c>
      <c r="L75" s="21">
        <f>((L74*$B$215/'Emission Factors and Constants'!$A$7)/'Forecast Parameters'!$B$132)*'Forecast Parameters'!O$132</f>
        <v>34966.146987445143</v>
      </c>
      <c r="M75" s="21">
        <f>((M74*$B$215/'Emission Factors and Constants'!$A$7)/'Forecast Parameters'!$B$132)*'Forecast Parameters'!P$132</f>
        <v>35278.441979840361</v>
      </c>
      <c r="N75" s="21">
        <f>((N74*$B$215/'Emission Factors and Constants'!$A$7)/'Forecast Parameters'!$B$132)*'Forecast Parameters'!Q$132</f>
        <v>35588.047076555013</v>
      </c>
      <c r="O75" s="21">
        <f>((O74*$B$215/'Emission Factors and Constants'!$A$7)/'Forecast Parameters'!$B$132)*'Forecast Parameters'!R$132</f>
        <v>35771.866672647498</v>
      </c>
      <c r="P75" s="21">
        <f>((P74*$B$215/'Emission Factors and Constants'!$A$7)/'Forecast Parameters'!$B$132)*'Forecast Parameters'!S$132</f>
        <v>35937.803797046538</v>
      </c>
      <c r="Q75" s="21">
        <f>((Q74*$B$215/'Emission Factors and Constants'!$A$7)/'Forecast Parameters'!$B$132)*'Forecast Parameters'!T$132</f>
        <v>31962.816029450816</v>
      </c>
      <c r="R75" s="21">
        <f>((R74*$B$215/'Emission Factors and Constants'!$A$7)/'Forecast Parameters'!$B$132)*'Forecast Parameters'!U$132</f>
        <v>32112.014532683384</v>
      </c>
      <c r="S75" s="21">
        <f>((S74*$B$215/'Emission Factors and Constants'!$A$7)/'Forecast Parameters'!$B$132)*'Forecast Parameters'!V$132</f>
        <v>32274.502458314779</v>
      </c>
      <c r="T75" s="21">
        <f>((T74*$B$215/'Emission Factors and Constants'!$A$7)/'Forecast Parameters'!$B$132)*'Forecast Parameters'!W$132</f>
        <v>32119.430733948844</v>
      </c>
      <c r="U75" s="21">
        <f>((U74*$B$215/'Emission Factors and Constants'!$A$7)/'Forecast Parameters'!$B$132)*'Forecast Parameters'!X$132</f>
        <v>31962.513581884305</v>
      </c>
      <c r="V75" s="21">
        <f>((V74*$B$215/'Emission Factors and Constants'!$A$7)/'Forecast Parameters'!$B$132)*'Forecast Parameters'!Y$132</f>
        <v>31808.685209811461</v>
      </c>
      <c r="W75" s="21">
        <f>((W74*$B$215/'Emission Factors and Constants'!$A$7)/'Forecast Parameters'!$B$132)*'Forecast Parameters'!Z$132</f>
        <v>31630.428934505191</v>
      </c>
      <c r="X75" s="21">
        <f>((X74*$B$215/'Emission Factors and Constants'!$A$7)/'Forecast Parameters'!$B$132)*'Forecast Parameters'!AA$132</f>
        <v>31460.391516436826</v>
      </c>
      <c r="Y75" s="21">
        <f>((Y74*$B$215/'Emission Factors and Constants'!$A$7)/'Forecast Parameters'!$B$132)*'Forecast Parameters'!AB$132</f>
        <v>31546.056277325908</v>
      </c>
      <c r="Z75" s="21">
        <f>((Z74*$B$215/'Emission Factors and Constants'!$A$7)/'Forecast Parameters'!$B$132)*'Forecast Parameters'!AC$132</f>
        <v>31640.475530334079</v>
      </c>
      <c r="AA75" s="21">
        <f>((AA74*$B$215/'Emission Factors and Constants'!$A$7)/'Forecast Parameters'!$B$132)*'Forecast Parameters'!AD$132</f>
        <v>31723.096587679527</v>
      </c>
      <c r="AB75" s="21">
        <f>((AB74*$B$215/'Emission Factors and Constants'!$A$7)/'Forecast Parameters'!$B$132)*'Forecast Parameters'!AE$132</f>
        <v>31822.23634990002</v>
      </c>
      <c r="AC75" s="21">
        <f>((AC74*$B$215/'Emission Factors and Constants'!$A$7)/'Forecast Parameters'!$B$132)*'Forecast Parameters'!AF$132</f>
        <v>31905.239515799938</v>
      </c>
    </row>
    <row r="76" spans="1:29" x14ac:dyDescent="0.7">
      <c r="A76" s="170" t="s">
        <v>377</v>
      </c>
      <c r="B76" s="21">
        <f>B75*($B$200/'Forecast Parameters'!G$204)</f>
        <v>0</v>
      </c>
      <c r="C76" s="21">
        <f>C75*($B$200/'Forecast Parameters'!H$204)</f>
        <v>6943.1761959846699</v>
      </c>
      <c r="D76" s="21">
        <f>D75*($B$200/'Forecast Parameters'!I$204)</f>
        <v>6930.7207673763914</v>
      </c>
      <c r="E76" s="21">
        <f>E75*($B$200/'Forecast Parameters'!J$204)</f>
        <v>6906.689400983737</v>
      </c>
      <c r="F76" s="21">
        <f>F75*($B$200/'Forecast Parameters'!K$204)</f>
        <v>6883.7360055573763</v>
      </c>
      <c r="G76" s="21">
        <f>G75*($B$200/'Forecast Parameters'!L$204)</f>
        <v>6860.0438803827055</v>
      </c>
      <c r="H76" s="21">
        <f>H75*($B$200/'Forecast Parameters'!M$204)</f>
        <v>6835.8134570241491</v>
      </c>
      <c r="I76" s="21">
        <f>I75*($B$200/'Forecast Parameters'!N$204)</f>
        <v>6812.5765115903923</v>
      </c>
      <c r="J76" s="21">
        <f>J75*($B$200/'Forecast Parameters'!O$204)</f>
        <v>6845.4735460468364</v>
      </c>
      <c r="K76" s="21">
        <f>K75*($B$200/'Forecast Parameters'!P$204)</f>
        <v>6880.099792233158</v>
      </c>
      <c r="L76" s="21">
        <f>L75*($B$200/'Forecast Parameters'!Q$204)</f>
        <v>6915.430800978027</v>
      </c>
      <c r="M76" s="21">
        <f>M75*($B$200/'Forecast Parameters'!R$204)</f>
        <v>6951.4171388848017</v>
      </c>
      <c r="N76" s="21">
        <f>N75*($B$200/'Forecast Parameters'!S$204)</f>
        <v>6986.6104690169359</v>
      </c>
      <c r="O76" s="21">
        <f>O75*($B$200/'Forecast Parameters'!T$204)</f>
        <v>6996.942136459169</v>
      </c>
      <c r="P76" s="21">
        <f>P75*($B$200/'Forecast Parameters'!U$204)</f>
        <v>7003.7132856607132</v>
      </c>
      <c r="Q76" s="21">
        <f>Q75*($B$200/'Forecast Parameters'!V$204)</f>
        <v>6206.3720445535564</v>
      </c>
      <c r="R76" s="21">
        <f>R75*($B$200/'Forecast Parameters'!W$204)</f>
        <v>6212.7234887900149</v>
      </c>
      <c r="S76" s="21">
        <f>S75*($B$200/'Forecast Parameters'!X$204)</f>
        <v>6221.5908353377881</v>
      </c>
      <c r="T76" s="21">
        <f>T75*($B$200/'Forecast Parameters'!Y$204)</f>
        <v>6176.8136026824704</v>
      </c>
      <c r="U76" s="21">
        <f>U75*($B$200/'Forecast Parameters'!Z$204)</f>
        <v>6131.897090049747</v>
      </c>
      <c r="V76" s="21">
        <f>V75*($B$200/'Forecast Parameters'!AA$204)</f>
        <v>6087.7866430261183</v>
      </c>
      <c r="W76" s="21">
        <f>W75*($B$200/'Forecast Parameters'!AB$204)</f>
        <v>6039.2227082587488</v>
      </c>
      <c r="X76" s="21">
        <f>X75*($B$200/'Forecast Parameters'!AC$204)</f>
        <v>5992.455526940349</v>
      </c>
      <c r="Y76" s="21">
        <f>Y75*($B$200/'Forecast Parameters'!AD$204)</f>
        <v>5994.5000051925736</v>
      </c>
      <c r="Z76" s="21">
        <f>Z75*($B$200/'Forecast Parameters'!AE$204)</f>
        <v>5998.1944133334773</v>
      </c>
      <c r="AA76" s="21">
        <f>AA75*($B$200/'Forecast Parameters'!AF$204)</f>
        <v>5999.640016582417</v>
      </c>
      <c r="AB76" s="21">
        <f>AB75*($B$200/'Forecast Parameters'!AG$204)</f>
        <v>6004.1955377169852</v>
      </c>
      <c r="AC76" s="21">
        <f>AC75*($B$200/'Forecast Parameters'!AH$204)</f>
        <v>6005.6921441505765</v>
      </c>
    </row>
    <row r="77" spans="1:29" x14ac:dyDescent="0.7">
      <c r="A77" s="501" t="s">
        <v>42</v>
      </c>
      <c r="B77" s="502"/>
      <c r="C77" s="502"/>
      <c r="D77" s="502"/>
      <c r="E77" s="502"/>
      <c r="F77" s="502"/>
      <c r="G77" s="502"/>
      <c r="H77" s="502"/>
      <c r="I77" s="502"/>
      <c r="J77" s="502"/>
      <c r="K77" s="502"/>
      <c r="L77" s="502"/>
      <c r="M77" s="502"/>
      <c r="N77" s="502"/>
      <c r="O77" s="502"/>
      <c r="P77" s="502"/>
      <c r="Q77" s="502"/>
      <c r="R77" s="502"/>
      <c r="S77" s="502"/>
      <c r="T77" s="502"/>
      <c r="U77" s="502"/>
      <c r="V77" s="502"/>
      <c r="W77" s="502"/>
      <c r="X77" s="502"/>
      <c r="Y77" s="502"/>
      <c r="Z77" s="502"/>
      <c r="AA77" s="502"/>
      <c r="AB77" s="502"/>
      <c r="AC77" s="503"/>
    </row>
    <row r="78" spans="1:29" x14ac:dyDescent="0.7">
      <c r="A78" s="170" t="s">
        <v>408</v>
      </c>
      <c r="B78" s="21">
        <f t="shared" ref="B78:AC78" si="25">B64*$B$219</f>
        <v>0</v>
      </c>
      <c r="C78" s="21">
        <f t="shared" si="25"/>
        <v>335070.0769770862</v>
      </c>
      <c r="D78" s="21">
        <f t="shared" si="25"/>
        <v>337369.26624473598</v>
      </c>
      <c r="E78" s="21">
        <f t="shared" si="25"/>
        <v>339668.4555123857</v>
      </c>
      <c r="F78" s="21">
        <f t="shared" si="25"/>
        <v>341967.67534866987</v>
      </c>
      <c r="G78" s="21">
        <f t="shared" si="25"/>
        <v>344266.8646163196</v>
      </c>
      <c r="H78" s="21">
        <f t="shared" si="25"/>
        <v>346566.05388396932</v>
      </c>
      <c r="I78" s="21">
        <f t="shared" si="25"/>
        <v>348865.2431516191</v>
      </c>
      <c r="J78" s="21">
        <f t="shared" si="25"/>
        <v>351164.43241926882</v>
      </c>
      <c r="K78" s="21">
        <f t="shared" si="25"/>
        <v>353463.6216869186</v>
      </c>
      <c r="L78" s="21">
        <f t="shared" si="25"/>
        <v>355762.81095456833</v>
      </c>
      <c r="M78" s="21">
        <f t="shared" si="25"/>
        <v>358062.00022221805</v>
      </c>
      <c r="N78" s="21">
        <f t="shared" si="25"/>
        <v>360361.18948986783</v>
      </c>
      <c r="O78" s="21">
        <f t="shared" si="25"/>
        <v>362660.37875751755</v>
      </c>
      <c r="P78" s="21">
        <f t="shared" si="25"/>
        <v>364959.56802516733</v>
      </c>
      <c r="Q78" s="21">
        <f t="shared" si="25"/>
        <v>367258.75729281706</v>
      </c>
      <c r="R78" s="21">
        <f t="shared" si="25"/>
        <v>369557.94656046678</v>
      </c>
      <c r="S78" s="21">
        <f t="shared" si="25"/>
        <v>371857.13582811656</v>
      </c>
      <c r="T78" s="21">
        <f t="shared" si="25"/>
        <v>374254.08358857274</v>
      </c>
      <c r="U78" s="21">
        <f t="shared" si="25"/>
        <v>376666.43794076575</v>
      </c>
      <c r="V78" s="21">
        <f t="shared" si="25"/>
        <v>379094.38229650207</v>
      </c>
      <c r="W78" s="21">
        <f t="shared" si="25"/>
        <v>381537.97779305041</v>
      </c>
      <c r="X78" s="21">
        <f t="shared" si="25"/>
        <v>383997.28556767956</v>
      </c>
      <c r="Y78" s="21">
        <f t="shared" si="25"/>
        <v>386472.48903219594</v>
      </c>
      <c r="Z78" s="21">
        <f t="shared" si="25"/>
        <v>388963.61875523394</v>
      </c>
      <c r="AA78" s="21">
        <f t="shared" si="25"/>
        <v>391470.82757996552</v>
      </c>
      <c r="AB78" s="21">
        <f t="shared" si="25"/>
        <v>393994.17664365959</v>
      </c>
      <c r="AC78" s="21">
        <f t="shared" si="25"/>
        <v>396533.78822085366</v>
      </c>
    </row>
    <row r="79" spans="1:29" x14ac:dyDescent="0.7">
      <c r="A79" s="170" t="s">
        <v>398</v>
      </c>
      <c r="B79" s="21">
        <f>B78*B$63</f>
        <v>0</v>
      </c>
      <c r="C79" s="21">
        <f t="shared" ref="C79:O79" si="26">C78*C$63</f>
        <v>42079.083091402361</v>
      </c>
      <c r="D79" s="21">
        <f t="shared" si="26"/>
        <v>42340.61370802435</v>
      </c>
      <c r="E79" s="21">
        <f t="shared" si="26"/>
        <v>42630.191240210697</v>
      </c>
      <c r="F79" s="21">
        <f t="shared" si="26"/>
        <v>42926.829596037955</v>
      </c>
      <c r="G79" s="21">
        <f t="shared" si="26"/>
        <v>43219.294769223692</v>
      </c>
      <c r="H79" s="21">
        <f t="shared" si="26"/>
        <v>43508.724788511077</v>
      </c>
      <c r="I79" s="21">
        <f t="shared" si="26"/>
        <v>43804.868322191309</v>
      </c>
      <c r="J79" s="21">
        <f t="shared" si="26"/>
        <v>44081.247212678398</v>
      </c>
      <c r="K79" s="21">
        <f t="shared" si="26"/>
        <v>44369.105998665473</v>
      </c>
      <c r="L79" s="21">
        <f t="shared" si="26"/>
        <v>44661.87496538704</v>
      </c>
      <c r="M79" s="21">
        <f t="shared" si="26"/>
        <v>44959.251731482836</v>
      </c>
      <c r="N79" s="21">
        <f t="shared" si="26"/>
        <v>45251.871302859952</v>
      </c>
      <c r="O79" s="21">
        <f t="shared" si="26"/>
        <v>45581.076485404708</v>
      </c>
      <c r="P79" s="21">
        <f>(P78-B79)*P$63</f>
        <v>45888.832461211903</v>
      </c>
      <c r="Q79" s="21">
        <f t="shared" ref="Q79:AC79" si="27">(Q78-C79)*Q$63</f>
        <v>40899.211177886158</v>
      </c>
      <c r="R79" s="21">
        <f t="shared" si="27"/>
        <v>41176.914417988839</v>
      </c>
      <c r="S79" s="21">
        <f t="shared" si="27"/>
        <v>41472.870236449977</v>
      </c>
      <c r="T79" s="21">
        <f t="shared" si="27"/>
        <v>41739.045575512442</v>
      </c>
      <c r="U79" s="21">
        <f t="shared" si="27"/>
        <v>42008.867237922772</v>
      </c>
      <c r="V79" s="21">
        <f t="shared" si="27"/>
        <v>42289.021361158964</v>
      </c>
      <c r="W79" s="21">
        <f t="shared" si="27"/>
        <v>42542.859862661368</v>
      </c>
      <c r="X79" s="21">
        <f t="shared" si="27"/>
        <v>42813.878787980677</v>
      </c>
      <c r="Y79" s="21">
        <f t="shared" si="27"/>
        <v>43074.117307524335</v>
      </c>
      <c r="Z79" s="21">
        <f t="shared" si="27"/>
        <v>43348.097188518797</v>
      </c>
      <c r="AA79" s="21">
        <f t="shared" si="27"/>
        <v>43607.704848456444</v>
      </c>
      <c r="AB79" s="21">
        <f t="shared" si="27"/>
        <v>43891.85154565789</v>
      </c>
      <c r="AC79" s="21">
        <f t="shared" si="27"/>
        <v>44155.59331930308</v>
      </c>
    </row>
    <row r="80" spans="1:29" x14ac:dyDescent="0.7">
      <c r="A80" s="170" t="s">
        <v>385</v>
      </c>
      <c r="B80" s="21">
        <f>((B79*$B$216/'Emission Factors and Constants'!$A$7)/'Forecast Parameters'!$B$132)*'Forecast Parameters'!E$132</f>
        <v>0</v>
      </c>
      <c r="C80" s="21">
        <f>((C79*$B$216/'Emission Factors and Constants'!$A$7)/'Forecast Parameters'!$B$132)*'Forecast Parameters'!F$132</f>
        <v>429.05372949153326</v>
      </c>
      <c r="D80" s="21">
        <f>((D79*$B$216/'Emission Factors and Constants'!$A$7)/'Forecast Parameters'!$B$132)*'Forecast Parameters'!G$132</f>
        <v>431.06511123377493</v>
      </c>
      <c r="E80" s="21">
        <f>((E79*$B$216/'Emission Factors and Constants'!$A$7)/'Forecast Parameters'!$B$132)*'Forecast Parameters'!H$132</f>
        <v>432.34187168097122</v>
      </c>
      <c r="F80" s="21">
        <f>((F79*$B$216/'Emission Factors and Constants'!$A$7)/'Forecast Parameters'!$B$132)*'Forecast Parameters'!I$132</f>
        <v>433.66725707004161</v>
      </c>
      <c r="G80" s="21">
        <f>((G79*$B$216/'Emission Factors and Constants'!$A$7)/'Forecast Parameters'!$B$132)*'Forecast Parameters'!J$132</f>
        <v>434.92738607623301</v>
      </c>
      <c r="H80" s="21">
        <f>((H79*$B$216/'Emission Factors and Constants'!$A$7)/'Forecast Parameters'!$B$132)*'Forecast Parameters'!K$132</f>
        <v>436.13415722259168</v>
      </c>
      <c r="I80" s="21">
        <f>((I79*$B$216/'Emission Factors and Constants'!$A$7)/'Forecast Parameters'!$B$132)*'Forecast Parameters'!L$132</f>
        <v>437.38526654690594</v>
      </c>
      <c r="J80" s="21">
        <f>((J79*$B$216/'Emission Factors and Constants'!$A$7)/'Forecast Parameters'!$B$132)*'Forecast Parameters'!M$132</f>
        <v>441.14545740996147</v>
      </c>
      <c r="K80" s="21">
        <f>((K79*$B$216/'Emission Factors and Constants'!$A$7)/'Forecast Parameters'!$B$132)*'Forecast Parameters'!N$132</f>
        <v>445.03334141617546</v>
      </c>
      <c r="L80" s="21">
        <f>((L79*$B$216/'Emission Factors and Constants'!$A$7)/'Forecast Parameters'!$B$132)*'Forecast Parameters'!O$132</f>
        <v>448.98365527939387</v>
      </c>
      <c r="M80" s="21">
        <f>((M79*$B$216/'Emission Factors and Constants'!$A$7)/'Forecast Parameters'!$B$132)*'Forecast Parameters'!P$132</f>
        <v>452.99368667522953</v>
      </c>
      <c r="N80" s="21">
        <f>((N79*$B$216/'Emission Factors and Constants'!$A$7)/'Forecast Parameters'!$B$132)*'Forecast Parameters'!Q$132</f>
        <v>456.96917840058279</v>
      </c>
      <c r="O80" s="21">
        <f>((O79*$B$216/'Emission Factors and Constants'!$A$7)/'Forecast Parameters'!$B$132)*'Forecast Parameters'!R$132</f>
        <v>459.32951836584169</v>
      </c>
      <c r="P80" s="21">
        <f>((P79*$B$216/'Emission Factors and Constants'!$A$7)/'Forecast Parameters'!$B$132)*'Forecast Parameters'!S$132</f>
        <v>461.46023802122681</v>
      </c>
      <c r="Q80" s="21">
        <f>((Q79*$B$216/'Emission Factors and Constants'!$A$7)/'Forecast Parameters'!$B$132)*'Forecast Parameters'!T$132</f>
        <v>410.41931154377357</v>
      </c>
      <c r="R80" s="21">
        <f>((R79*$B$216/'Emission Factors and Constants'!$A$7)/'Forecast Parameters'!$B$132)*'Forecast Parameters'!U$132</f>
        <v>412.33509852961527</v>
      </c>
      <c r="S80" s="21">
        <f>((S79*$B$216/'Emission Factors and Constants'!$A$7)/'Forecast Parameters'!$B$132)*'Forecast Parameters'!V$132</f>
        <v>414.42152866488141</v>
      </c>
      <c r="T80" s="21">
        <f>((T79*$B$216/'Emission Factors and Constants'!$A$7)/'Forecast Parameters'!$B$132)*'Forecast Parameters'!W$132</f>
        <v>412.43032644116209</v>
      </c>
      <c r="U80" s="21">
        <f>((U79*$B$216/'Emission Factors and Constants'!$A$7)/'Forecast Parameters'!$B$132)*'Forecast Parameters'!X$132</f>
        <v>410.41542795848778</v>
      </c>
      <c r="V80" s="21">
        <f>((V79*$B$216/'Emission Factors and Constants'!$A$7)/'Forecast Parameters'!$B$132)*'Forecast Parameters'!Y$132</f>
        <v>408.44019102993099</v>
      </c>
      <c r="W80" s="21">
        <f>((W79*$B$216/'Emission Factors and Constants'!$A$7)/'Forecast Parameters'!$B$132)*'Forecast Parameters'!Z$132</f>
        <v>406.15128701965415</v>
      </c>
      <c r="X80" s="21">
        <f>((X79*$B$216/'Emission Factors and Constants'!$A$7)/'Forecast Parameters'!$B$132)*'Forecast Parameters'!AA$132</f>
        <v>403.96791744433261</v>
      </c>
      <c r="Y80" s="21">
        <f>((Y79*$B$216/'Emission Factors and Constants'!$A$7)/'Forecast Parameters'!$B$132)*'Forecast Parameters'!AB$132</f>
        <v>405.06789787644669</v>
      </c>
      <c r="Z80" s="21">
        <f>((Z79*$B$216/'Emission Factors and Constants'!$A$7)/'Forecast Parameters'!$B$132)*'Forecast Parameters'!AC$132</f>
        <v>406.28029057615072</v>
      </c>
      <c r="AA80" s="21">
        <f>((AA79*$B$216/'Emission Factors and Constants'!$A$7)/'Forecast Parameters'!$B$132)*'Forecast Parameters'!AD$132</f>
        <v>407.34118825936781</v>
      </c>
      <c r="AB80" s="21">
        <f>((AB79*$B$216/'Emission Factors and Constants'!$A$7)/'Forecast Parameters'!$B$132)*'Forecast Parameters'!AE$132</f>
        <v>408.61419477167453</v>
      </c>
      <c r="AC80" s="21">
        <f>((AC79*$B$216/'Emission Factors and Constants'!$A$7)/'Forecast Parameters'!$B$132)*'Forecast Parameters'!AF$132</f>
        <v>409.67999892901821</v>
      </c>
    </row>
    <row r="81" spans="1:29" x14ac:dyDescent="0.7">
      <c r="A81" s="170" t="s">
        <v>377</v>
      </c>
      <c r="B81" s="21">
        <f>B80*($B$200/'Forecast Parameters'!G$204)</f>
        <v>0</v>
      </c>
      <c r="C81" s="21">
        <f>C80*($B$200/'Forecast Parameters'!H$204)</f>
        <v>89.154021712526415</v>
      </c>
      <c r="D81" s="21">
        <f>D80*($B$200/'Forecast Parameters'!I$204)</f>
        <v>88.994087480521287</v>
      </c>
      <c r="E81" s="21">
        <f>E80*($B$200/'Forecast Parameters'!J$204)</f>
        <v>88.685512139686423</v>
      </c>
      <c r="F81" s="21">
        <f>F80*($B$200/'Forecast Parameters'!K$204)</f>
        <v>88.390778511091284</v>
      </c>
      <c r="G81" s="21">
        <f>G80*($B$200/'Forecast Parameters'!L$204)</f>
        <v>88.086559205313023</v>
      </c>
      <c r="H81" s="21">
        <f>H80*($B$200/'Forecast Parameters'!M$204)</f>
        <v>87.775427868697719</v>
      </c>
      <c r="I81" s="21">
        <f>I80*($B$200/'Forecast Parameters'!N$204)</f>
        <v>87.477053309381191</v>
      </c>
      <c r="J81" s="21">
        <f>J80*($B$200/'Forecast Parameters'!O$204)</f>
        <v>87.89946847521027</v>
      </c>
      <c r="K81" s="21">
        <f>K80*($B$200/'Forecast Parameters'!P$204)</f>
        <v>88.344087626039808</v>
      </c>
      <c r="L81" s="21">
        <f>L80*($B$200/'Forecast Parameters'!Q$204)</f>
        <v>88.797756297531549</v>
      </c>
      <c r="M81" s="21">
        <f>M80*($B$200/'Forecast Parameters'!R$204)</f>
        <v>89.259839738961503</v>
      </c>
      <c r="N81" s="21">
        <f>N80*($B$200/'Forecast Parameters'!S$204)</f>
        <v>89.711740544899698</v>
      </c>
      <c r="O81" s="21">
        <f>O80*($B$200/'Forecast Parameters'!T$204)</f>
        <v>89.844404570335783</v>
      </c>
      <c r="P81" s="21">
        <f>P80*($B$200/'Forecast Parameters'!U$204)</f>
        <v>89.93134967526953</v>
      </c>
      <c r="Q81" s="21">
        <f>Q80*($B$200/'Forecast Parameters'!V$204)</f>
        <v>79.693070202674477</v>
      </c>
      <c r="R81" s="21">
        <f>R80*($B$200/'Forecast Parameters'!W$204)</f>
        <v>79.774626075862699</v>
      </c>
      <c r="S81" s="21">
        <f>S80*($B$200/'Forecast Parameters'!X$204)</f>
        <v>79.8884874534711</v>
      </c>
      <c r="T81" s="21">
        <f>T80*($B$200/'Forecast Parameters'!Y$204)</f>
        <v>79.313524315608106</v>
      </c>
      <c r="U81" s="21">
        <f>U80*($B$200/'Forecast Parameters'!Z$204)</f>
        <v>78.736772749829797</v>
      </c>
      <c r="V81" s="21">
        <f>V80*($B$200/'Forecast Parameters'!AA$204)</f>
        <v>78.170371488982013</v>
      </c>
      <c r="W81" s="21">
        <f>W80*($B$200/'Forecast Parameters'!AB$204)</f>
        <v>77.546785111151166</v>
      </c>
      <c r="X81" s="21">
        <f>X80*($B$200/'Forecast Parameters'!AC$204)</f>
        <v>76.946269989396711</v>
      </c>
      <c r="Y81" s="21">
        <f>Y80*($B$200/'Forecast Parameters'!AD$204)</f>
        <v>76.972522161795112</v>
      </c>
      <c r="Z81" s="21">
        <f>Z80*($B$200/'Forecast Parameters'!AE$204)</f>
        <v>77.019960298796377</v>
      </c>
      <c r="AA81" s="21">
        <f>AA80*($B$200/'Forecast Parameters'!AF$204)</f>
        <v>77.038522602244512</v>
      </c>
      <c r="AB81" s="21">
        <f>AB80*($B$200/'Forecast Parameters'!AG$204)</f>
        <v>77.097017881448025</v>
      </c>
      <c r="AC81" s="21">
        <f>AC80*($B$200/'Forecast Parameters'!AH$204)</f>
        <v>77.11623509252108</v>
      </c>
    </row>
    <row r="82" spans="1:29" x14ac:dyDescent="0.7">
      <c r="A82" s="501" t="s">
        <v>386</v>
      </c>
      <c r="B82" s="502"/>
      <c r="C82" s="502"/>
      <c r="D82" s="502"/>
      <c r="E82" s="502"/>
      <c r="F82" s="502"/>
      <c r="G82" s="502"/>
      <c r="H82" s="502"/>
      <c r="I82" s="502"/>
      <c r="J82" s="502"/>
      <c r="K82" s="502"/>
      <c r="L82" s="502"/>
      <c r="M82" s="502"/>
      <c r="N82" s="502"/>
      <c r="O82" s="502"/>
      <c r="P82" s="502"/>
      <c r="Q82" s="502"/>
      <c r="R82" s="502"/>
      <c r="S82" s="502"/>
      <c r="T82" s="502"/>
      <c r="U82" s="502"/>
      <c r="V82" s="502"/>
      <c r="W82" s="502"/>
      <c r="X82" s="502"/>
      <c r="Y82" s="502"/>
      <c r="Z82" s="502"/>
      <c r="AA82" s="502"/>
      <c r="AB82" s="502"/>
      <c r="AC82" s="503"/>
    </row>
    <row r="83" spans="1:29" x14ac:dyDescent="0.7">
      <c r="A83" s="170" t="s">
        <v>388</v>
      </c>
      <c r="B83" s="21">
        <f>(B70-B71)+B76+B81</f>
        <v>0</v>
      </c>
      <c r="C83" s="21">
        <f>((C70-C71)+C76+C81)+B83</f>
        <v>7296.8655993945004</v>
      </c>
      <c r="D83" s="21">
        <f t="shared" ref="D83:AC83" si="28">((D70-D71)+D76+D81)+C83</f>
        <v>14582.957606520664</v>
      </c>
      <c r="E83" s="21">
        <f t="shared" si="28"/>
        <v>21846.094335547499</v>
      </c>
      <c r="F83" s="21">
        <f t="shared" si="28"/>
        <v>29087.393687620224</v>
      </c>
      <c r="G83" s="21">
        <f t="shared" si="28"/>
        <v>36306.062971550193</v>
      </c>
      <c r="H83" s="21">
        <f t="shared" si="28"/>
        <v>43501.519732070126</v>
      </c>
      <c r="I83" s="21">
        <f t="shared" si="28"/>
        <v>50674.793851483613</v>
      </c>
      <c r="J83" s="21">
        <f t="shared" si="28"/>
        <v>57884.079466084753</v>
      </c>
      <c r="K83" s="21">
        <f t="shared" si="28"/>
        <v>65131.211229143053</v>
      </c>
      <c r="L83" s="21">
        <f t="shared" si="28"/>
        <v>72416.945528402401</v>
      </c>
      <c r="M83" s="21">
        <f t="shared" si="28"/>
        <v>79741.987085237241</v>
      </c>
      <c r="N83" s="21">
        <f t="shared" si="28"/>
        <v>87105.514542747507</v>
      </c>
      <c r="O83" s="21">
        <f t="shared" si="28"/>
        <v>94481.334118398561</v>
      </c>
      <c r="P83" s="21">
        <f t="shared" si="28"/>
        <v>101865.69592500718</v>
      </c>
      <c r="Q83" s="21">
        <f t="shared" si="28"/>
        <v>108410.62591195857</v>
      </c>
      <c r="R83" s="21">
        <f t="shared" si="28"/>
        <v>114963.49963107328</v>
      </c>
      <c r="S83" s="21">
        <f t="shared" si="28"/>
        <v>121526.97378355214</v>
      </c>
      <c r="T83" s="21">
        <f t="shared" si="28"/>
        <v>128044.03588837686</v>
      </c>
      <c r="U83" s="21">
        <f t="shared" si="28"/>
        <v>134514.52700270704</v>
      </c>
      <c r="V83" s="21">
        <f t="shared" si="28"/>
        <v>140939.2858003524</v>
      </c>
      <c r="W83" s="21">
        <f t="shared" si="28"/>
        <v>147313.59989427376</v>
      </c>
      <c r="X83" s="21">
        <f t="shared" si="28"/>
        <v>153639.35298802386</v>
      </c>
      <c r="Y83" s="21">
        <f t="shared" si="28"/>
        <v>159968.06564406541</v>
      </c>
      <c r="Z83" s="21">
        <f t="shared" si="28"/>
        <v>166301.48054838338</v>
      </c>
      <c r="AA83" s="21">
        <f t="shared" si="28"/>
        <v>172637.22390449111</v>
      </c>
      <c r="AB83" s="21">
        <f t="shared" si="28"/>
        <v>178978.58065194814</v>
      </c>
      <c r="AC83" s="21">
        <f t="shared" si="28"/>
        <v>185322.32091401037</v>
      </c>
    </row>
    <row r="84" spans="1:29" x14ac:dyDescent="0.7">
      <c r="A84" s="170" t="s">
        <v>387</v>
      </c>
      <c r="B84" s="21">
        <f>-B75</f>
        <v>0</v>
      </c>
      <c r="C84" s="21">
        <f>-C75+B84</f>
        <v>-33414.035443176217</v>
      </c>
      <c r="D84" s="21">
        <f t="shared" ref="D84:AC84" si="29">-D75+C84</f>
        <v>-66984.714160155607</v>
      </c>
      <c r="E84" s="21">
        <f t="shared" si="29"/>
        <v>-100654.82498995132</v>
      </c>
      <c r="F84" s="21">
        <f t="shared" si="29"/>
        <v>-134428.1547672172</v>
      </c>
      <c r="G84" s="21">
        <f t="shared" si="29"/>
        <v>-168299.62142660681</v>
      </c>
      <c r="H84" s="21">
        <f t="shared" si="29"/>
        <v>-202265.06954119555</v>
      </c>
      <c r="I84" s="21">
        <f t="shared" si="29"/>
        <v>-236327.95209914751</v>
      </c>
      <c r="J84" s="21">
        <f t="shared" si="29"/>
        <v>-270683.6724583701</v>
      </c>
      <c r="K84" s="21">
        <f t="shared" si="29"/>
        <v>-305342.17516174464</v>
      </c>
      <c r="L84" s="21">
        <f t="shared" si="29"/>
        <v>-340308.32214918977</v>
      </c>
      <c r="M84" s="21">
        <f t="shared" si="29"/>
        <v>-375586.76412903011</v>
      </c>
      <c r="N84" s="21">
        <f t="shared" si="29"/>
        <v>-411174.81120558514</v>
      </c>
      <c r="O84" s="21">
        <f t="shared" si="29"/>
        <v>-446946.67787823261</v>
      </c>
      <c r="P84" s="21">
        <f t="shared" si="29"/>
        <v>-482884.48167527915</v>
      </c>
      <c r="Q84" s="21">
        <f t="shared" si="29"/>
        <v>-514847.29770472995</v>
      </c>
      <c r="R84" s="21">
        <f t="shared" si="29"/>
        <v>-546959.31223741337</v>
      </c>
      <c r="S84" s="21">
        <f t="shared" si="29"/>
        <v>-579233.81469572813</v>
      </c>
      <c r="T84" s="21">
        <f t="shared" si="29"/>
        <v>-611353.24542967696</v>
      </c>
      <c r="U84" s="21">
        <f t="shared" si="29"/>
        <v>-643315.75901156128</v>
      </c>
      <c r="V84" s="21">
        <f t="shared" si="29"/>
        <v>-675124.44422137272</v>
      </c>
      <c r="W84" s="21">
        <f t="shared" si="29"/>
        <v>-706754.87315587793</v>
      </c>
      <c r="X84" s="21">
        <f t="shared" si="29"/>
        <v>-738215.26467231475</v>
      </c>
      <c r="Y84" s="21">
        <f t="shared" si="29"/>
        <v>-769761.32094964071</v>
      </c>
      <c r="Z84" s="21">
        <f t="shared" si="29"/>
        <v>-801401.79647997476</v>
      </c>
      <c r="AA84" s="21">
        <f t="shared" si="29"/>
        <v>-833124.89306765434</v>
      </c>
      <c r="AB84" s="21">
        <f t="shared" si="29"/>
        <v>-864947.12941755436</v>
      </c>
      <c r="AC84" s="21">
        <f t="shared" si="29"/>
        <v>-896852.36893335427</v>
      </c>
    </row>
    <row r="85" spans="1:29" x14ac:dyDescent="0.7">
      <c r="A85" s="170" t="s">
        <v>389</v>
      </c>
      <c r="B85" s="21">
        <f>-B81</f>
        <v>0</v>
      </c>
      <c r="C85" s="21">
        <f>-C81+B85</f>
        <v>-89.154021712526415</v>
      </c>
      <c r="D85" s="21">
        <f t="shared" ref="D85:AC85" si="30">-D81+C85</f>
        <v>-178.1481091930477</v>
      </c>
      <c r="E85" s="21">
        <f t="shared" si="30"/>
        <v>-266.83362133273414</v>
      </c>
      <c r="F85" s="21">
        <f t="shared" si="30"/>
        <v>-355.22439984382544</v>
      </c>
      <c r="G85" s="21">
        <f t="shared" si="30"/>
        <v>-443.31095904913843</v>
      </c>
      <c r="H85" s="21">
        <f t="shared" si="30"/>
        <v>-531.08638691783619</v>
      </c>
      <c r="I85" s="21">
        <f t="shared" si="30"/>
        <v>-618.56344022721737</v>
      </c>
      <c r="J85" s="21">
        <f t="shared" si="30"/>
        <v>-706.46290870242763</v>
      </c>
      <c r="K85" s="21">
        <f t="shared" si="30"/>
        <v>-794.80699632846745</v>
      </c>
      <c r="L85" s="21">
        <f t="shared" si="30"/>
        <v>-883.60475262599903</v>
      </c>
      <c r="M85" s="21">
        <f t="shared" si="30"/>
        <v>-972.86459236496057</v>
      </c>
      <c r="N85" s="21">
        <f t="shared" si="30"/>
        <v>-1062.5763329098602</v>
      </c>
      <c r="O85" s="21">
        <f t="shared" si="30"/>
        <v>-1152.4207374801961</v>
      </c>
      <c r="P85" s="21">
        <f t="shared" si="30"/>
        <v>-1242.3520871554656</v>
      </c>
      <c r="Q85" s="21">
        <f t="shared" si="30"/>
        <v>-1322.0451573581402</v>
      </c>
      <c r="R85" s="21">
        <f t="shared" si="30"/>
        <v>-1401.8197834340028</v>
      </c>
      <c r="S85" s="21">
        <f t="shared" si="30"/>
        <v>-1481.7082708874739</v>
      </c>
      <c r="T85" s="21">
        <f t="shared" si="30"/>
        <v>-1561.0217952030821</v>
      </c>
      <c r="U85" s="21">
        <f t="shared" si="30"/>
        <v>-1639.7585679529118</v>
      </c>
      <c r="V85" s="21">
        <f t="shared" si="30"/>
        <v>-1717.9289394418938</v>
      </c>
      <c r="W85" s="21">
        <f t="shared" si="30"/>
        <v>-1795.475724553045</v>
      </c>
      <c r="X85" s="21">
        <f t="shared" si="30"/>
        <v>-1872.4219945424418</v>
      </c>
      <c r="Y85" s="21">
        <f t="shared" si="30"/>
        <v>-1949.3945167042368</v>
      </c>
      <c r="Z85" s="21">
        <f t="shared" si="30"/>
        <v>-2026.4144770030332</v>
      </c>
      <c r="AA85" s="21">
        <f t="shared" si="30"/>
        <v>-2103.4529996052779</v>
      </c>
      <c r="AB85" s="21">
        <f t="shared" si="30"/>
        <v>-2180.5500174867261</v>
      </c>
      <c r="AC85" s="21">
        <f t="shared" si="30"/>
        <v>-2257.6662525792472</v>
      </c>
    </row>
    <row r="86" spans="1:29" ht="24" x14ac:dyDescent="0.85">
      <c r="A86" s="494" t="s">
        <v>409</v>
      </c>
      <c r="B86" s="494"/>
      <c r="C86" s="494"/>
      <c r="D86" s="494"/>
      <c r="E86" s="494"/>
      <c r="F86" s="494"/>
      <c r="G86" s="494"/>
      <c r="H86" s="494"/>
      <c r="I86" s="494"/>
      <c r="J86" s="494"/>
      <c r="K86" s="494"/>
      <c r="L86" s="494"/>
      <c r="M86" s="494"/>
      <c r="N86" s="494"/>
      <c r="O86" s="494"/>
      <c r="P86" s="494"/>
      <c r="Q86" s="494"/>
      <c r="R86" s="494"/>
      <c r="S86" s="494"/>
      <c r="T86" s="494"/>
      <c r="U86" s="494"/>
      <c r="V86" s="494"/>
      <c r="W86" s="494"/>
      <c r="X86" s="494"/>
      <c r="Y86" s="494"/>
      <c r="Z86" s="494"/>
      <c r="AA86" s="494"/>
      <c r="AB86" s="494"/>
      <c r="AC86" s="494"/>
    </row>
    <row r="87" spans="1:29" x14ac:dyDescent="0.7">
      <c r="A87" s="152"/>
      <c r="B87" s="153">
        <v>2023</v>
      </c>
      <c r="C87" s="153">
        <v>2024</v>
      </c>
      <c r="D87" s="153">
        <v>2025</v>
      </c>
      <c r="E87" s="153">
        <v>2026</v>
      </c>
      <c r="F87" s="153">
        <v>2027</v>
      </c>
      <c r="G87" s="153">
        <v>2028</v>
      </c>
      <c r="H87" s="153">
        <v>2029</v>
      </c>
      <c r="I87" s="153">
        <v>2030</v>
      </c>
      <c r="J87" s="153">
        <v>2031</v>
      </c>
      <c r="K87" s="153">
        <v>2032</v>
      </c>
      <c r="L87" s="153">
        <v>2033</v>
      </c>
      <c r="M87" s="153">
        <v>2034</v>
      </c>
      <c r="N87" s="153">
        <v>2035</v>
      </c>
      <c r="O87" s="153">
        <v>2036</v>
      </c>
      <c r="P87" s="153">
        <v>2037</v>
      </c>
      <c r="Q87" s="153">
        <v>2038</v>
      </c>
      <c r="R87" s="153">
        <v>2039</v>
      </c>
      <c r="S87" s="153">
        <v>2040</v>
      </c>
      <c r="T87" s="153">
        <v>2041</v>
      </c>
      <c r="U87" s="153">
        <v>2042</v>
      </c>
      <c r="V87" s="153">
        <v>2043</v>
      </c>
      <c r="W87" s="153">
        <v>2044</v>
      </c>
      <c r="X87" s="153">
        <v>2045</v>
      </c>
      <c r="Y87" s="153">
        <v>2046</v>
      </c>
      <c r="Z87" s="153">
        <v>2047</v>
      </c>
      <c r="AA87" s="153">
        <v>2048</v>
      </c>
      <c r="AB87" s="153">
        <v>2049</v>
      </c>
      <c r="AC87" s="153">
        <v>2050</v>
      </c>
    </row>
    <row r="88" spans="1:29" x14ac:dyDescent="0.7">
      <c r="A88" s="504" t="s">
        <v>340</v>
      </c>
      <c r="B88" s="505"/>
      <c r="C88" s="505"/>
      <c r="D88" s="505"/>
      <c r="E88" s="505"/>
      <c r="F88" s="505"/>
      <c r="G88" s="505"/>
      <c r="H88" s="505"/>
      <c r="I88" s="505"/>
      <c r="J88" s="505"/>
      <c r="K88" s="505"/>
      <c r="L88" s="505"/>
      <c r="M88" s="505"/>
      <c r="N88" s="505"/>
      <c r="O88" s="505"/>
      <c r="P88" s="505"/>
      <c r="Q88" s="505"/>
      <c r="R88" s="505"/>
      <c r="S88" s="505"/>
      <c r="T88" s="505"/>
      <c r="U88" s="505"/>
      <c r="V88" s="505"/>
      <c r="W88" s="505"/>
      <c r="X88" s="505"/>
      <c r="Y88" s="505"/>
      <c r="Z88" s="505"/>
      <c r="AA88" s="505"/>
      <c r="AB88" s="505"/>
      <c r="AC88" s="506"/>
    </row>
    <row r="89" spans="1:29" ht="40.799999999999997" x14ac:dyDescent="0.7">
      <c r="A89" s="161" t="s">
        <v>410</v>
      </c>
      <c r="B89" s="174">
        <f>'Forecast Parameters'!I212</f>
        <v>8.1446196999999997E-4</v>
      </c>
      <c r="C89" s="174">
        <f>'Forecast Parameters'!J212</f>
        <v>1.15820609E-3</v>
      </c>
      <c r="D89" s="174">
        <f>'Forecast Parameters'!K212</f>
        <v>1.6345282599836547E-3</v>
      </c>
      <c r="E89" s="174">
        <f>'Forecast Parameters'!L212</f>
        <v>2.2827321299771727E-3</v>
      </c>
      <c r="F89" s="174">
        <f>'Forecast Parameters'!M212</f>
        <v>3.1434788099685652E-3</v>
      </c>
      <c r="G89" s="174">
        <f>'Forecast Parameters'!N212</f>
        <v>4.2499927999999996E-3</v>
      </c>
      <c r="H89" s="174">
        <f>'Forecast Parameters'!O212</f>
        <v>5.6146338800561468E-3</v>
      </c>
      <c r="I89" s="174">
        <f>'Forecast Parameters'!P212</f>
        <v>7.2140386899999997E-3</v>
      </c>
      <c r="J89" s="174">
        <f>'Forecast Parameters'!Q212</f>
        <v>8.9803587700000003E-3</v>
      </c>
      <c r="K89" s="174">
        <f>'Forecast Parameters'!R212</f>
        <v>1.0807426490000001E-2</v>
      </c>
      <c r="L89" s="174">
        <f>'Forecast Parameters'!S212</f>
        <v>1.2573869439874262E-2</v>
      </c>
      <c r="M89" s="174">
        <f>'Forecast Parameters'!T212</f>
        <v>1.417353446E-2</v>
      </c>
      <c r="N89" s="174">
        <f>'Forecast Parameters'!U212</f>
        <v>1.553853642E-2</v>
      </c>
      <c r="O89" s="174">
        <f>'Forecast Parameters'!V212</f>
        <v>1.6645387889999998E-2</v>
      </c>
      <c r="P89" s="174">
        <f>'Forecast Parameters'!W212</f>
        <v>1.7506444020000001E-2</v>
      </c>
      <c r="Q89" s="174">
        <f>'Forecast Parameters'!X212</f>
        <v>1.8154987139999999E-2</v>
      </c>
      <c r="R89" s="174">
        <f>'Forecast Parameters'!Y212</f>
        <v>1.8631580250000002E-2</v>
      </c>
      <c r="S89" s="174">
        <f>'Forecast Parameters'!Z212</f>
        <v>1.897557029E-2</v>
      </c>
      <c r="T89" s="174">
        <f>'Forecast Parameters'!AA212</f>
        <v>1.9220628999999999E-2</v>
      </c>
      <c r="U89" s="174">
        <f>'Forecast Parameters'!AB212</f>
        <v>1.9393617639999999E-2</v>
      </c>
      <c r="V89" s="174">
        <f>'Forecast Parameters'!AC212</f>
        <v>1.9514977240195151E-2</v>
      </c>
      <c r="W89" s="174">
        <f>'Forecast Parameters'!AD212</f>
        <v>1.9599747130195997E-2</v>
      </c>
      <c r="X89" s="174">
        <f>'Forecast Parameters'!AE212</f>
        <v>1.965875446E-2</v>
      </c>
      <c r="Y89" s="174">
        <f>'Forecast Parameters'!AF212</f>
        <v>1.9791440630000001E-2</v>
      </c>
      <c r="Z89" s="174">
        <f>'Forecast Parameters'!AG212</f>
        <v>1.9791666610000005E-2</v>
      </c>
      <c r="AA89" s="174">
        <f>'Forecast Parameters'!AH212</f>
        <v>1.9791852469802081E-2</v>
      </c>
      <c r="AB89" s="174">
        <f>'Forecast Parameters'!AI212</f>
        <v>1.9792070049999999E-2</v>
      </c>
      <c r="AC89" s="174">
        <f>'Forecast Parameters'!AJ212</f>
        <v>1.9792301330000001E-2</v>
      </c>
    </row>
    <row r="90" spans="1:29" x14ac:dyDescent="0.7">
      <c r="A90" s="161" t="s">
        <v>350</v>
      </c>
      <c r="B90" s="21">
        <v>0</v>
      </c>
      <c r="C90" s="21">
        <f>ROUND('Forecast Parameters'!J70*(1/'Baseline Building Energy'!$B$199),0)</f>
        <v>17985</v>
      </c>
      <c r="D90" s="21">
        <f>ROUND('Forecast Parameters'!K70*(1/'Baseline Building Energy'!$B$199),0)</f>
        <v>18110</v>
      </c>
      <c r="E90" s="21">
        <f>ROUND('Forecast Parameters'!L70*(1/'Baseline Building Energy'!$B$199),0)</f>
        <v>18234</v>
      </c>
      <c r="F90" s="21">
        <f>ROUND('Forecast Parameters'!M70*(1/'Baseline Building Energy'!$B$199),0)</f>
        <v>18359</v>
      </c>
      <c r="G90" s="21">
        <f>ROUND('Forecast Parameters'!N70*(1/'Baseline Building Energy'!$B$199),0)</f>
        <v>18484</v>
      </c>
      <c r="H90" s="21">
        <f>ROUND('Forecast Parameters'!O70*(1/'Baseline Building Energy'!$B$199),0)</f>
        <v>18609</v>
      </c>
      <c r="I90" s="21">
        <f>ROUND('Forecast Parameters'!P70*(1/'Baseline Building Energy'!$B$199),0)</f>
        <v>18733</v>
      </c>
      <c r="J90" s="21">
        <f>ROUND('Forecast Parameters'!Q70*(1/'Baseline Building Energy'!$B$199),0)</f>
        <v>18858</v>
      </c>
      <c r="K90" s="21">
        <f>ROUND('Forecast Parameters'!R70*(1/'Baseline Building Energy'!$B$199),0)</f>
        <v>18983</v>
      </c>
      <c r="L90" s="21">
        <f>ROUND('Forecast Parameters'!S70*(1/'Baseline Building Energy'!$B$199),0)</f>
        <v>19107</v>
      </c>
      <c r="M90" s="21">
        <f>ROUND('Forecast Parameters'!T70*(1/'Baseline Building Energy'!$B$199),0)</f>
        <v>19232</v>
      </c>
      <c r="N90" s="21">
        <f>ROUND('Forecast Parameters'!U70*(1/'Baseline Building Energy'!$B$199),0)</f>
        <v>19357</v>
      </c>
      <c r="O90" s="21">
        <f>ROUND('Forecast Parameters'!V70*(1/'Baseline Building Energy'!$B$199),0)</f>
        <v>19481</v>
      </c>
      <c r="P90" s="21">
        <f>ROUND('Forecast Parameters'!W70*(1/'Baseline Building Energy'!$B$199),0)</f>
        <v>19606</v>
      </c>
      <c r="Q90" s="21">
        <f>ROUND('Forecast Parameters'!X70*(1/'Baseline Building Energy'!$B$199),0)</f>
        <v>19731</v>
      </c>
      <c r="R90" s="21">
        <f>ROUND('Forecast Parameters'!Y70*(1/'Baseline Building Energy'!$B$199),0)</f>
        <v>19855</v>
      </c>
      <c r="S90" s="21">
        <f>ROUND('Forecast Parameters'!Z70*(1/'Baseline Building Energy'!$B$199),0)</f>
        <v>19980</v>
      </c>
      <c r="T90" s="21">
        <f>ROUND('Forecast Parameters'!AA70*(1/'Baseline Building Energy'!$B$199),0)</f>
        <v>20110</v>
      </c>
      <c r="U90" s="21">
        <f>ROUND('Forecast Parameters'!AB70*(1/'Baseline Building Energy'!$B$199),0)</f>
        <v>20241</v>
      </c>
      <c r="V90" s="21">
        <f>ROUND('Forecast Parameters'!AC70*(1/'Baseline Building Energy'!$B$199),0)</f>
        <v>20373</v>
      </c>
      <c r="W90" s="21">
        <f>ROUND('Forecast Parameters'!AD70*(1/'Baseline Building Energy'!$B$199),0)</f>
        <v>20506</v>
      </c>
      <c r="X90" s="21">
        <f>ROUND('Forecast Parameters'!AE70*(1/'Baseline Building Energy'!$B$199),0)</f>
        <v>20639</v>
      </c>
      <c r="Y90" s="21">
        <f>ROUND('Forecast Parameters'!AF70*(1/'Baseline Building Energy'!$B$199),0)</f>
        <v>20774</v>
      </c>
      <c r="Z90" s="21">
        <f>ROUND('Forecast Parameters'!AG70*(1/'Baseline Building Energy'!$B$199),0)</f>
        <v>20909</v>
      </c>
      <c r="AA90" s="21">
        <f>ROUND('Forecast Parameters'!AH70*(1/'Baseline Building Energy'!$B$199),0)</f>
        <v>21045</v>
      </c>
      <c r="AB90" s="21">
        <f>ROUND('Forecast Parameters'!AI70*(1/'Baseline Building Energy'!$B$199),0)</f>
        <v>21182</v>
      </c>
      <c r="AC90" s="21">
        <f>ROUND('Forecast Parameters'!AJ70*(1/'Baseline Building Energy'!$B$199),0)</f>
        <v>21320</v>
      </c>
    </row>
    <row r="91" spans="1:29" x14ac:dyDescent="0.7">
      <c r="A91" s="173" t="s">
        <v>392</v>
      </c>
      <c r="B91" s="21">
        <f>SUM($B$90:B90)</f>
        <v>0</v>
      </c>
      <c r="C91" s="21">
        <f>SUM($B$90:C90)</f>
        <v>17985</v>
      </c>
      <c r="D91" s="21">
        <f>SUM($B$90:D90)</f>
        <v>36095</v>
      </c>
      <c r="E91" s="21">
        <f>SUM($B$90:E90)</f>
        <v>54329</v>
      </c>
      <c r="F91" s="21">
        <f>SUM($B$90:F90)</f>
        <v>72688</v>
      </c>
      <c r="G91" s="21">
        <f>SUM($B$90:G90)</f>
        <v>91172</v>
      </c>
      <c r="H91" s="21">
        <f>SUM($B$90:H90)</f>
        <v>109781</v>
      </c>
      <c r="I91" s="21">
        <f>SUM($B$90:I90)</f>
        <v>128514</v>
      </c>
      <c r="J91" s="21">
        <f>SUM($B$90:J90)</f>
        <v>147372</v>
      </c>
      <c r="K91" s="21">
        <f>SUM($B$90:K90)</f>
        <v>166355</v>
      </c>
      <c r="L91" s="21">
        <f>SUM($B$90:L90)</f>
        <v>185462</v>
      </c>
      <c r="M91" s="21">
        <f>SUM($B$90:M90)</f>
        <v>204694</v>
      </c>
      <c r="N91" s="21">
        <f>SUM($B$90:N90)</f>
        <v>224051</v>
      </c>
      <c r="O91" s="21">
        <f>SUM($B$90:O90)</f>
        <v>243532</v>
      </c>
      <c r="P91" s="21">
        <f>SUM($B$90:P90)</f>
        <v>263138</v>
      </c>
      <c r="Q91" s="21">
        <f>SUM($B$90:Q90)</f>
        <v>282869</v>
      </c>
      <c r="R91" s="21">
        <f>SUM($B$90:R90)</f>
        <v>302724</v>
      </c>
      <c r="S91" s="21">
        <f>SUM($B$90:S90)</f>
        <v>322704</v>
      </c>
      <c r="T91" s="21">
        <f>SUM($B$90:T90)</f>
        <v>342814</v>
      </c>
      <c r="U91" s="21">
        <f>SUM($B$90:U90)</f>
        <v>363055</v>
      </c>
      <c r="V91" s="21">
        <f>SUM($B$90:V90)</f>
        <v>383428</v>
      </c>
      <c r="W91" s="21">
        <f>SUM($B$90:W90)</f>
        <v>403934</v>
      </c>
      <c r="X91" s="21">
        <f>SUM($B$90:X90)</f>
        <v>424573</v>
      </c>
      <c r="Y91" s="21">
        <f>SUM($B$90:Y90)</f>
        <v>445347</v>
      </c>
      <c r="Z91" s="21">
        <f>SUM($B$90:Z90)</f>
        <v>466256</v>
      </c>
      <c r="AA91" s="21">
        <f>SUM($B$90:AA90)</f>
        <v>487301</v>
      </c>
      <c r="AB91" s="21">
        <f>SUM($B$90:AB90)</f>
        <v>508483</v>
      </c>
      <c r="AC91" s="21">
        <f>SUM($B$90:AC90)</f>
        <v>529803</v>
      </c>
    </row>
    <row r="92" spans="1:29" ht="40.799999999999997" x14ac:dyDescent="0.7">
      <c r="A92" s="173" t="s">
        <v>393</v>
      </c>
      <c r="B92" s="21"/>
      <c r="C92" s="21" t="str">
        <f>IF(C91&gt;='Forecast Parameters'!D80,"X","")</f>
        <v/>
      </c>
      <c r="D92" s="21" t="str">
        <f>IF(D91&gt;='Forecast Parameters'!E80,"X","")</f>
        <v/>
      </c>
      <c r="E92" s="21" t="str">
        <f>IF(E91&gt;='Forecast Parameters'!F80,"X","")</f>
        <v/>
      </c>
      <c r="F92" s="21" t="str">
        <f>IF(F91&gt;='Forecast Parameters'!G80,"X","")</f>
        <v/>
      </c>
      <c r="G92" s="21" t="str">
        <f>IF(G91&gt;='Forecast Parameters'!H80,"X","")</f>
        <v/>
      </c>
      <c r="H92" s="21" t="str">
        <f>IF(H91&gt;='Forecast Parameters'!I80,"X","")</f>
        <v/>
      </c>
      <c r="I92" s="21" t="str">
        <f>IF(I91&gt;='Forecast Parameters'!J80,"X","")</f>
        <v/>
      </c>
      <c r="J92" s="21" t="str">
        <f>IF(J91&gt;='Forecast Parameters'!K80,"X","")</f>
        <v/>
      </c>
      <c r="K92" s="21" t="str">
        <f>IF(K91&gt;='Forecast Parameters'!L80,"X","")</f>
        <v/>
      </c>
      <c r="L92" s="21" t="str">
        <f>IF(L91&gt;='Forecast Parameters'!M80,"X","")</f>
        <v/>
      </c>
      <c r="M92" s="21" t="str">
        <f>IF(M91&gt;='Forecast Parameters'!N80,"X","")</f>
        <v/>
      </c>
      <c r="N92" s="21" t="str">
        <f>IF(N91&gt;='Forecast Parameters'!O80,"X","")</f>
        <v/>
      </c>
      <c r="O92" s="21" t="str">
        <f>IF(O91&gt;='Forecast Parameters'!P80,"X","")</f>
        <v/>
      </c>
      <c r="P92" s="21" t="str">
        <f>IF(P91&gt;='Forecast Parameters'!Q80,"X","")</f>
        <v>X</v>
      </c>
      <c r="Q92" s="21" t="str">
        <f>IF(Q91&gt;='Forecast Parameters'!R80,"X","")</f>
        <v>X</v>
      </c>
      <c r="R92" s="21" t="str">
        <f>IF(R91&gt;='Forecast Parameters'!S80,"X","")</f>
        <v>X</v>
      </c>
      <c r="S92" s="21" t="str">
        <f>IF(S91&gt;='Forecast Parameters'!T80,"X","")</f>
        <v>X</v>
      </c>
      <c r="T92" s="21" t="str">
        <f>IF(T91&gt;='Forecast Parameters'!U80,"X","")</f>
        <v>X</v>
      </c>
      <c r="U92" s="21" t="str">
        <f>IF(U91&gt;='Forecast Parameters'!V80,"X","")</f>
        <v>X</v>
      </c>
      <c r="V92" s="21" t="str">
        <f>IF(V91&gt;='Forecast Parameters'!W80,"X","")</f>
        <v>X</v>
      </c>
      <c r="W92" s="21" t="str">
        <f>IF(W91&gt;='Forecast Parameters'!X80,"X","")</f>
        <v>X</v>
      </c>
      <c r="X92" s="21" t="str">
        <f>IF(X91&gt;='Forecast Parameters'!Y80,"X","")</f>
        <v>X</v>
      </c>
      <c r="Y92" s="21" t="str">
        <f>IF(Y91&gt;='Forecast Parameters'!Z80,"X","")</f>
        <v>X</v>
      </c>
      <c r="Z92" s="21" t="str">
        <f>IF(Z91&gt;='Forecast Parameters'!AA80,"X","")</f>
        <v>X</v>
      </c>
      <c r="AA92" s="21" t="str">
        <f>IF(AA91&gt;='Forecast Parameters'!AB80,"X","")</f>
        <v>X</v>
      </c>
      <c r="AB92" s="21" t="str">
        <f>IF(AB91&gt;='Forecast Parameters'!AC80,"X","")</f>
        <v>X</v>
      </c>
      <c r="AC92" s="21" t="str">
        <f>IF(AC91&gt;='Forecast Parameters'!AD80,"X","")</f>
        <v>X</v>
      </c>
    </row>
    <row r="93" spans="1:29" x14ac:dyDescent="0.7">
      <c r="A93" s="498" t="s">
        <v>370</v>
      </c>
      <c r="B93" s="499"/>
      <c r="C93" s="499"/>
      <c r="D93" s="499"/>
      <c r="E93" s="499"/>
      <c r="F93" s="499"/>
      <c r="G93" s="499"/>
      <c r="H93" s="499"/>
      <c r="I93" s="499"/>
      <c r="J93" s="499"/>
      <c r="K93" s="499"/>
      <c r="L93" s="499"/>
      <c r="M93" s="499"/>
      <c r="N93" s="499"/>
      <c r="O93" s="499"/>
      <c r="P93" s="499"/>
      <c r="Q93" s="499"/>
      <c r="R93" s="499"/>
      <c r="S93" s="499"/>
      <c r="T93" s="499"/>
      <c r="U93" s="499"/>
      <c r="V93" s="499"/>
      <c r="W93" s="499"/>
      <c r="X93" s="499"/>
      <c r="Y93" s="499"/>
      <c r="Z93" s="499"/>
      <c r="AA93" s="499"/>
      <c r="AB93" s="499"/>
      <c r="AC93" s="500"/>
    </row>
    <row r="94" spans="1:29" x14ac:dyDescent="0.7">
      <c r="A94" s="170" t="s">
        <v>422</v>
      </c>
      <c r="B94" s="21">
        <f>B$90*$B$230</f>
        <v>0</v>
      </c>
      <c r="C94" s="21">
        <f t="shared" ref="C94:AC94" si="31">C90*$B$230</f>
        <v>7674.1247264770227</v>
      </c>
      <c r="D94" s="21">
        <f t="shared" si="31"/>
        <v>7727.4617067833688</v>
      </c>
      <c r="E94" s="21">
        <f t="shared" si="31"/>
        <v>7780.3719912472634</v>
      </c>
      <c r="F94" s="21">
        <f t="shared" si="31"/>
        <v>7833.7089715536094</v>
      </c>
      <c r="G94" s="21">
        <f t="shared" si="31"/>
        <v>7887.0459518599555</v>
      </c>
      <c r="H94" s="21">
        <f t="shared" si="31"/>
        <v>7940.3829321663006</v>
      </c>
      <c r="I94" s="21">
        <f t="shared" si="31"/>
        <v>7993.2932166301962</v>
      </c>
      <c r="J94" s="21">
        <f t="shared" si="31"/>
        <v>8046.6301969365413</v>
      </c>
      <c r="K94" s="21">
        <f t="shared" si="31"/>
        <v>8099.9671772428874</v>
      </c>
      <c r="L94" s="21">
        <f t="shared" si="31"/>
        <v>8152.877461706782</v>
      </c>
      <c r="M94" s="21">
        <f t="shared" si="31"/>
        <v>8206.2144420131281</v>
      </c>
      <c r="N94" s="21">
        <f t="shared" si="31"/>
        <v>8259.5514223194732</v>
      </c>
      <c r="O94" s="21">
        <f t="shared" si="31"/>
        <v>8312.4617067833678</v>
      </c>
      <c r="P94" s="21">
        <f t="shared" si="31"/>
        <v>8365.7986870897148</v>
      </c>
      <c r="Q94" s="21">
        <f t="shared" si="31"/>
        <v>8419.1356673960599</v>
      </c>
      <c r="R94" s="21">
        <f t="shared" si="31"/>
        <v>8472.0459518599546</v>
      </c>
      <c r="S94" s="21">
        <f t="shared" si="31"/>
        <v>8525.3829321663015</v>
      </c>
      <c r="T94" s="21">
        <f t="shared" si="31"/>
        <v>8580.853391684901</v>
      </c>
      <c r="U94" s="21">
        <f t="shared" si="31"/>
        <v>8636.750547045951</v>
      </c>
      <c r="V94" s="21">
        <f t="shared" si="31"/>
        <v>8693.0743982494514</v>
      </c>
      <c r="W94" s="21">
        <f t="shared" si="31"/>
        <v>8749.8249452954042</v>
      </c>
      <c r="X94" s="21">
        <f t="shared" si="31"/>
        <v>8806.5754923413551</v>
      </c>
      <c r="Y94" s="21">
        <f t="shared" si="31"/>
        <v>8864.1794310722089</v>
      </c>
      <c r="Z94" s="21">
        <f t="shared" si="31"/>
        <v>8921.7833698030627</v>
      </c>
      <c r="AA94" s="21">
        <f t="shared" si="31"/>
        <v>8979.8140043763669</v>
      </c>
      <c r="AB94" s="21">
        <f t="shared" si="31"/>
        <v>9038.2713347921217</v>
      </c>
      <c r="AC94" s="21">
        <f t="shared" si="31"/>
        <v>9097.155361050327</v>
      </c>
    </row>
    <row r="95" spans="1:29" x14ac:dyDescent="0.7">
      <c r="A95" s="170" t="s">
        <v>372</v>
      </c>
      <c r="B95" s="21">
        <f>B94*B$89</f>
        <v>0</v>
      </c>
      <c r="C95" s="21">
        <f t="shared" ref="C95:N95" si="32">C94*C89</f>
        <v>8.8882179936252719</v>
      </c>
      <c r="D95" s="21">
        <f t="shared" si="32"/>
        <v>12.630754537678943</v>
      </c>
      <c r="E95" s="21">
        <f t="shared" si="32"/>
        <v>17.760505127594602</v>
      </c>
      <c r="F95" s="21">
        <f t="shared" si="32"/>
        <v>24.625098155539412</v>
      </c>
      <c r="G95" s="21">
        <f t="shared" si="32"/>
        <v>33.519888508673951</v>
      </c>
      <c r="H95" s="21">
        <f t="shared" si="32"/>
        <v>44.582343031560484</v>
      </c>
      <c r="I95" s="21">
        <f t="shared" si="32"/>
        <v>57.663926525284786</v>
      </c>
      <c r="J95" s="21">
        <f t="shared" si="32"/>
        <v>72.261626058005902</v>
      </c>
      <c r="K95" s="21">
        <f t="shared" si="32"/>
        <v>87.539799839465317</v>
      </c>
      <c r="L95" s="21">
        <f t="shared" si="32"/>
        <v>102.51321676279454</v>
      </c>
      <c r="M95" s="21">
        <f t="shared" si="32"/>
        <v>116.31106318002274</v>
      </c>
      <c r="N95" s="21">
        <f t="shared" si="32"/>
        <v>128.34134058857393</v>
      </c>
      <c r="O95" s="21">
        <f>(O94-B95)*O89</f>
        <v>138.36414943018059</v>
      </c>
      <c r="P95" s="21">
        <f t="shared" ref="P95:AC95" si="33">(P94-C95)*P89</f>
        <v>146.29978530738265</v>
      </c>
      <c r="Q95" s="21">
        <f t="shared" si="33"/>
        <v>152.61998858529071</v>
      </c>
      <c r="R95" s="21">
        <f t="shared" si="33"/>
        <v>157.51669775720106</v>
      </c>
      <c r="S95" s="21">
        <f t="shared" si="33"/>
        <v>161.30672779753939</v>
      </c>
      <c r="T95" s="21">
        <f t="shared" si="33"/>
        <v>164.28512620382057</v>
      </c>
      <c r="U95" s="21">
        <f t="shared" si="33"/>
        <v>166.63322484722059</v>
      </c>
      <c r="V95" s="21">
        <f t="shared" si="33"/>
        <v>168.51983881543998</v>
      </c>
      <c r="W95" s="21">
        <f t="shared" si="33"/>
        <v>170.07804676331725</v>
      </c>
      <c r="X95" s="21">
        <f t="shared" si="33"/>
        <v>171.40538180687071</v>
      </c>
      <c r="Y95" s="21">
        <f t="shared" si="33"/>
        <v>173.40599670038165</v>
      </c>
      <c r="Z95" s="21">
        <f t="shared" si="33"/>
        <v>174.27497223627094</v>
      </c>
      <c r="AA95" s="21">
        <f t="shared" si="33"/>
        <v>175.18704110217405</v>
      </c>
      <c r="AB95" s="21">
        <f t="shared" si="33"/>
        <v>176.14758645118187</v>
      </c>
      <c r="AC95" s="21">
        <f t="shared" si="33"/>
        <v>177.158030716415</v>
      </c>
    </row>
    <row r="96" spans="1:29" x14ac:dyDescent="0.7">
      <c r="A96" s="170" t="s">
        <v>373</v>
      </c>
      <c r="B96" s="21">
        <f t="shared" ref="B96:AC96" si="34">B95*$B$227</f>
        <v>0</v>
      </c>
      <c r="C96" s="21">
        <f t="shared" si="34"/>
        <v>71.105743949002175</v>
      </c>
      <c r="D96" s="21">
        <f t="shared" si="34"/>
        <v>101.04603630143154</v>
      </c>
      <c r="E96" s="21">
        <f t="shared" si="34"/>
        <v>142.08404102075681</v>
      </c>
      <c r="F96" s="21">
        <f t="shared" si="34"/>
        <v>197.0007852443153</v>
      </c>
      <c r="G96" s="21">
        <f t="shared" si="34"/>
        <v>268.15910806939161</v>
      </c>
      <c r="H96" s="21">
        <f t="shared" si="34"/>
        <v>356.65874425248387</v>
      </c>
      <c r="I96" s="21">
        <f t="shared" si="34"/>
        <v>461.31141220227829</v>
      </c>
      <c r="J96" s="21">
        <f t="shared" si="34"/>
        <v>578.09300846404722</v>
      </c>
      <c r="K96" s="21">
        <f t="shared" si="34"/>
        <v>700.31839871572254</v>
      </c>
      <c r="L96" s="21">
        <f t="shared" si="34"/>
        <v>820.10573410235634</v>
      </c>
      <c r="M96" s="21">
        <f t="shared" si="34"/>
        <v>930.48850544018194</v>
      </c>
      <c r="N96" s="21">
        <f t="shared" si="34"/>
        <v>1026.7307247085914</v>
      </c>
      <c r="O96" s="21">
        <f t="shared" si="34"/>
        <v>1106.9131954414447</v>
      </c>
      <c r="P96" s="21">
        <f t="shared" si="34"/>
        <v>1170.3982824590612</v>
      </c>
      <c r="Q96" s="21">
        <f t="shared" si="34"/>
        <v>1220.9599086823257</v>
      </c>
      <c r="R96" s="21">
        <f t="shared" si="34"/>
        <v>1260.1335820576085</v>
      </c>
      <c r="S96" s="21">
        <f t="shared" si="34"/>
        <v>1290.4538223803152</v>
      </c>
      <c r="T96" s="21">
        <f t="shared" si="34"/>
        <v>1314.2810096305645</v>
      </c>
      <c r="U96" s="21">
        <f t="shared" si="34"/>
        <v>1333.0657987777647</v>
      </c>
      <c r="V96" s="21">
        <f t="shared" si="34"/>
        <v>1348.1587105235199</v>
      </c>
      <c r="W96" s="21">
        <f t="shared" si="34"/>
        <v>1360.624374106538</v>
      </c>
      <c r="X96" s="21">
        <f t="shared" si="34"/>
        <v>1371.2430544549657</v>
      </c>
      <c r="Y96" s="21">
        <f t="shared" si="34"/>
        <v>1387.2479736030532</v>
      </c>
      <c r="Z96" s="21">
        <f t="shared" si="34"/>
        <v>1394.1997778901675</v>
      </c>
      <c r="AA96" s="21">
        <f t="shared" si="34"/>
        <v>1401.4963288173924</v>
      </c>
      <c r="AB96" s="21">
        <f t="shared" si="34"/>
        <v>1409.1806916094549</v>
      </c>
      <c r="AC96" s="21">
        <f t="shared" si="34"/>
        <v>1417.26424573132</v>
      </c>
    </row>
    <row r="97" spans="1:29" x14ac:dyDescent="0.7">
      <c r="A97" s="170" t="s">
        <v>379</v>
      </c>
      <c r="B97" s="21">
        <f>B96*($B$203/'Forecast Parameters'!G206)</f>
        <v>0</v>
      </c>
      <c r="C97" s="21">
        <f>C96*($B$203/'Forecast Parameters'!H206)</f>
        <v>26.097320917452926</v>
      </c>
      <c r="D97" s="21">
        <f>D96*($B$203/'Forecast Parameters'!I206)</f>
        <v>36.515490696163809</v>
      </c>
      <c r="E97" s="21">
        <f>E96*($B$203/'Forecast Parameters'!J206)</f>
        <v>50.567627752068191</v>
      </c>
      <c r="F97" s="21">
        <f>F96*($B$203/'Forecast Parameters'!K206)</f>
        <v>69.066010450849191</v>
      </c>
      <c r="G97" s="21">
        <f>G96*($B$203/'Forecast Parameters'!L206)</f>
        <v>92.630680634733537</v>
      </c>
      <c r="H97" s="21">
        <f>H96*($B$203/'Forecast Parameters'!M206)</f>
        <v>121.41574272424982</v>
      </c>
      <c r="I97" s="21">
        <f>I96*($B$203/'Forecast Parameters'!N206)</f>
        <v>154.79872312198034</v>
      </c>
      <c r="J97" s="21">
        <f>J96*($B$203/'Forecast Parameters'!O206)</f>
        <v>192.61043650047029</v>
      </c>
      <c r="K97" s="21">
        <f>K96*($B$203/'Forecast Parameters'!P206)</f>
        <v>231.69059400124601</v>
      </c>
      <c r="L97" s="21">
        <f>L96*($B$203/'Forecast Parameters'!Q206)</f>
        <v>269.42321989257607</v>
      </c>
      <c r="M97" s="21">
        <f>M96*($B$203/'Forecast Parameters'!R206)</f>
        <v>303.56362588828648</v>
      </c>
      <c r="N97" s="21">
        <f>N96*($B$203/'Forecast Parameters'!S206)</f>
        <v>332.65171535679696</v>
      </c>
      <c r="O97" s="21">
        <f>O96*($B$203/'Forecast Parameters'!T206)</f>
        <v>356.17375918605529</v>
      </c>
      <c r="P97" s="21">
        <f>P96*($B$203/'Forecast Parameters'!U206)</f>
        <v>374.03957268339974</v>
      </c>
      <c r="Q97" s="21">
        <f>Q96*($B$203/'Forecast Parameters'!V206)</f>
        <v>387.56174214643141</v>
      </c>
      <c r="R97" s="21">
        <f>R96*($B$203/'Forecast Parameters'!W206)</f>
        <v>397.31185908656306</v>
      </c>
      <c r="S97" s="21">
        <f>S96*($B$203/'Forecast Parameters'!X206)</f>
        <v>404.15915458379249</v>
      </c>
      <c r="T97" s="21">
        <f>T96*($B$203/'Forecast Parameters'!Y206)</f>
        <v>411.62162684599826</v>
      </c>
      <c r="U97" s="21">
        <f>U96*($B$203/'Forecast Parameters'!Z206)</f>
        <v>417.50486293635544</v>
      </c>
      <c r="V97" s="21">
        <f>V96*($B$203/'Forecast Parameters'!AA206)</f>
        <v>422.23183444481322</v>
      </c>
      <c r="W97" s="21">
        <f>W96*($B$203/'Forecast Parameters'!AB206)</f>
        <v>426.1359741882606</v>
      </c>
      <c r="X97" s="21">
        <f>X96*($B$203/'Forecast Parameters'!AC206)</f>
        <v>429.46165450164051</v>
      </c>
      <c r="Y97" s="21">
        <f>Y96*($B$203/'Forecast Parameters'!AD206)</f>
        <v>434.47425896674366</v>
      </c>
      <c r="Z97" s="21">
        <f>Z96*($B$203/'Forecast Parameters'!AE206)</f>
        <v>436.65150490517607</v>
      </c>
      <c r="AA97" s="21">
        <f>AA96*($B$203/'Forecast Parameters'!AF206)</f>
        <v>438.93672255727711</v>
      </c>
      <c r="AB97" s="21">
        <f>AB96*($B$203/'Forecast Parameters'!AG206)</f>
        <v>441.34339958491887</v>
      </c>
      <c r="AC97" s="21">
        <f>AC96*($B$203/'Forecast Parameters'!AH206)</f>
        <v>443.87509993968172</v>
      </c>
    </row>
    <row r="98" spans="1:29" x14ac:dyDescent="0.7">
      <c r="A98" s="501" t="s">
        <v>38</v>
      </c>
      <c r="B98" s="502"/>
      <c r="C98" s="502"/>
      <c r="D98" s="502"/>
      <c r="E98" s="502"/>
      <c r="F98" s="502"/>
      <c r="G98" s="502"/>
      <c r="H98" s="502"/>
      <c r="I98" s="502"/>
      <c r="J98" s="502"/>
      <c r="K98" s="502"/>
      <c r="L98" s="502"/>
      <c r="M98" s="502"/>
      <c r="N98" s="502"/>
      <c r="O98" s="502"/>
      <c r="P98" s="502"/>
      <c r="Q98" s="502"/>
      <c r="R98" s="502"/>
      <c r="S98" s="502"/>
      <c r="T98" s="502"/>
      <c r="U98" s="502"/>
      <c r="V98" s="502"/>
      <c r="W98" s="502"/>
      <c r="X98" s="502"/>
      <c r="Y98" s="502"/>
      <c r="Z98" s="502"/>
      <c r="AA98" s="502"/>
      <c r="AB98" s="502"/>
      <c r="AC98" s="503"/>
    </row>
    <row r="99" spans="1:29" ht="40.799999999999997" x14ac:dyDescent="0.7">
      <c r="A99" s="170" t="s">
        <v>424</v>
      </c>
      <c r="B99" s="21">
        <f t="shared" ref="B99:AC99" si="35">B$90*$B$228</f>
        <v>0</v>
      </c>
      <c r="C99" s="21">
        <f t="shared" si="35"/>
        <v>9445.0765864332589</v>
      </c>
      <c r="D99" s="21">
        <f t="shared" si="35"/>
        <v>9510.7221006564541</v>
      </c>
      <c r="E99" s="21">
        <f t="shared" si="35"/>
        <v>9575.8424507658638</v>
      </c>
      <c r="F99" s="21">
        <f t="shared" si="35"/>
        <v>9641.487964989059</v>
      </c>
      <c r="G99" s="21">
        <f t="shared" si="35"/>
        <v>9707.1334792122525</v>
      </c>
      <c r="H99" s="21">
        <f t="shared" si="35"/>
        <v>9772.7789934354478</v>
      </c>
      <c r="I99" s="21">
        <f t="shared" si="35"/>
        <v>9837.8993435448574</v>
      </c>
      <c r="J99" s="21">
        <f t="shared" si="35"/>
        <v>9903.5448577680509</v>
      </c>
      <c r="K99" s="21">
        <f t="shared" si="35"/>
        <v>9969.1903719912461</v>
      </c>
      <c r="L99" s="21">
        <f t="shared" si="35"/>
        <v>10034.310722100656</v>
      </c>
      <c r="M99" s="21">
        <f t="shared" si="35"/>
        <v>10099.956236323851</v>
      </c>
      <c r="N99" s="21">
        <f t="shared" si="35"/>
        <v>10165.601750547045</v>
      </c>
      <c r="O99" s="21">
        <f t="shared" si="35"/>
        <v>10230.722100656454</v>
      </c>
      <c r="P99" s="21">
        <f t="shared" si="35"/>
        <v>10296.367614879649</v>
      </c>
      <c r="Q99" s="21">
        <f t="shared" si="35"/>
        <v>10362.013129102843</v>
      </c>
      <c r="R99" s="21">
        <f t="shared" si="35"/>
        <v>10427.133479212252</v>
      </c>
      <c r="S99" s="21">
        <f t="shared" si="35"/>
        <v>10492.778993435448</v>
      </c>
      <c r="T99" s="21">
        <f t="shared" si="35"/>
        <v>10561.050328227569</v>
      </c>
      <c r="U99" s="21">
        <f t="shared" si="35"/>
        <v>10629.846827133479</v>
      </c>
      <c r="V99" s="21">
        <f t="shared" si="35"/>
        <v>10699.168490153172</v>
      </c>
      <c r="W99" s="21">
        <f t="shared" si="35"/>
        <v>10769.01531728665</v>
      </c>
      <c r="X99" s="21">
        <f t="shared" si="35"/>
        <v>10838.862144420131</v>
      </c>
      <c r="Y99" s="21">
        <f t="shared" si="35"/>
        <v>10909.759299781181</v>
      </c>
      <c r="Z99" s="21">
        <f t="shared" si="35"/>
        <v>10980.656455142231</v>
      </c>
      <c r="AA99" s="21">
        <f t="shared" si="35"/>
        <v>11052.078774617066</v>
      </c>
      <c r="AB99" s="21">
        <f t="shared" si="35"/>
        <v>11124.026258205688</v>
      </c>
      <c r="AC99" s="21">
        <f t="shared" si="35"/>
        <v>11196.498905908094</v>
      </c>
    </row>
    <row r="100" spans="1:29" x14ac:dyDescent="0.7">
      <c r="A100" s="170" t="s">
        <v>375</v>
      </c>
      <c r="B100" s="21">
        <f>B99*B$89</f>
        <v>0</v>
      </c>
      <c r="C100" s="21">
        <f t="shared" ref="C100:N100" si="36">C99*C$89</f>
        <v>10.939345222923412</v>
      </c>
      <c r="D100" s="21">
        <f t="shared" si="36"/>
        <v>15.545544046374083</v>
      </c>
      <c r="E100" s="21">
        <f t="shared" si="36"/>
        <v>21.85908323396259</v>
      </c>
      <c r="F100" s="21">
        <f t="shared" si="36"/>
        <v>30.307813114510051</v>
      </c>
      <c r="G100" s="21">
        <f t="shared" si="36"/>
        <v>41.255247395291022</v>
      </c>
      <c r="H100" s="21">
        <f t="shared" si="36"/>
        <v>54.870576038843673</v>
      </c>
      <c r="I100" s="21">
        <f t="shared" si="36"/>
        <v>70.970986492658199</v>
      </c>
      <c r="J100" s="21">
        <f t="shared" si="36"/>
        <v>88.937385917545726</v>
      </c>
      <c r="K100" s="21">
        <f t="shared" si="36"/>
        <v>107.74129211011116</v>
      </c>
      <c r="L100" s="21">
        <f t="shared" si="36"/>
        <v>126.17011293882408</v>
      </c>
      <c r="M100" s="21">
        <f t="shared" si="36"/>
        <v>143.15207776002799</v>
      </c>
      <c r="N100" s="21">
        <f t="shared" si="36"/>
        <v>157.95857303209101</v>
      </c>
      <c r="O100" s="21">
        <f>(O99-B100)*O89</f>
        <v>170.29433776022228</v>
      </c>
      <c r="P100" s="21">
        <f t="shared" ref="P100:AC100" si="37">(P99-C100)*P89</f>
        <v>180.06127422447096</v>
      </c>
      <c r="Q100" s="21">
        <f t="shared" si="37"/>
        <v>187.83998595112703</v>
      </c>
      <c r="R100" s="21">
        <f t="shared" si="37"/>
        <v>193.86670493193978</v>
      </c>
      <c r="S100" s="21">
        <f t="shared" si="37"/>
        <v>198.53135728927921</v>
      </c>
      <c r="T100" s="21">
        <f t="shared" si="37"/>
        <v>202.19707840470224</v>
      </c>
      <c r="U100" s="21">
        <f t="shared" si="37"/>
        <v>205.08704596580998</v>
      </c>
      <c r="V100" s="21">
        <f t="shared" si="37"/>
        <v>207.40903238823384</v>
      </c>
      <c r="W100" s="21">
        <f t="shared" si="37"/>
        <v>209.32682678562122</v>
      </c>
      <c r="X100" s="21">
        <f t="shared" si="37"/>
        <v>210.96046991614861</v>
      </c>
      <c r="Y100" s="21">
        <f t="shared" si="37"/>
        <v>213.42276516970048</v>
      </c>
      <c r="Z100" s="21">
        <f t="shared" si="37"/>
        <v>214.49227352156424</v>
      </c>
      <c r="AA100" s="21">
        <f t="shared" si="37"/>
        <v>215.61481981806034</v>
      </c>
      <c r="AB100" s="21">
        <f t="shared" si="37"/>
        <v>216.79702947837765</v>
      </c>
      <c r="AC100" s="21">
        <f t="shared" si="37"/>
        <v>218.04065318943387</v>
      </c>
    </row>
    <row r="101" spans="1:29" x14ac:dyDescent="0.7">
      <c r="A101" s="170" t="s">
        <v>376</v>
      </c>
      <c r="B101" s="21">
        <f t="shared" ref="B101:AC101" si="38">B100*$B$225</f>
        <v>0</v>
      </c>
      <c r="C101" s="21">
        <f t="shared" si="38"/>
        <v>182.68706522282099</v>
      </c>
      <c r="D101" s="21">
        <f t="shared" si="38"/>
        <v>259.61058557444716</v>
      </c>
      <c r="E101" s="21">
        <f t="shared" si="38"/>
        <v>365.04669000717524</v>
      </c>
      <c r="F101" s="21">
        <f t="shared" si="38"/>
        <v>506.14047901231783</v>
      </c>
      <c r="G101" s="21">
        <f t="shared" si="38"/>
        <v>688.96263150136008</v>
      </c>
      <c r="H101" s="21">
        <f t="shared" si="38"/>
        <v>916.33861984868929</v>
      </c>
      <c r="I101" s="21">
        <f t="shared" si="38"/>
        <v>1185.2154744273919</v>
      </c>
      <c r="J101" s="21">
        <f t="shared" si="38"/>
        <v>1485.2543448230135</v>
      </c>
      <c r="K101" s="21">
        <f t="shared" si="38"/>
        <v>1799.2795782388564</v>
      </c>
      <c r="L101" s="21">
        <f t="shared" si="38"/>
        <v>2107.0408860783618</v>
      </c>
      <c r="M101" s="21">
        <f t="shared" si="38"/>
        <v>2390.6396985924675</v>
      </c>
      <c r="N101" s="21">
        <f t="shared" si="38"/>
        <v>2637.9081696359199</v>
      </c>
      <c r="O101" s="21">
        <f t="shared" si="38"/>
        <v>2843.915440595712</v>
      </c>
      <c r="P101" s="21">
        <f t="shared" si="38"/>
        <v>3007.023279548665</v>
      </c>
      <c r="Q101" s="21">
        <f t="shared" si="38"/>
        <v>3136.9277653838212</v>
      </c>
      <c r="R101" s="21">
        <f t="shared" si="38"/>
        <v>3237.5739723633942</v>
      </c>
      <c r="S101" s="21">
        <f t="shared" si="38"/>
        <v>3315.4736667309626</v>
      </c>
      <c r="T101" s="21">
        <f t="shared" si="38"/>
        <v>3376.6912093585274</v>
      </c>
      <c r="U101" s="21">
        <f t="shared" si="38"/>
        <v>3424.9536676290263</v>
      </c>
      <c r="V101" s="21">
        <f t="shared" si="38"/>
        <v>3463.7308408835052</v>
      </c>
      <c r="W101" s="21">
        <f t="shared" si="38"/>
        <v>3495.7580073198742</v>
      </c>
      <c r="X101" s="21">
        <f t="shared" si="38"/>
        <v>3523.0398475996817</v>
      </c>
      <c r="Y101" s="21">
        <f t="shared" si="38"/>
        <v>3564.1601783339979</v>
      </c>
      <c r="Z101" s="21">
        <f t="shared" si="38"/>
        <v>3582.0209678101228</v>
      </c>
      <c r="AA101" s="21">
        <f t="shared" si="38"/>
        <v>3600.7674909616076</v>
      </c>
      <c r="AB101" s="21">
        <f t="shared" si="38"/>
        <v>3620.5103922889066</v>
      </c>
      <c r="AC101" s="21">
        <f t="shared" si="38"/>
        <v>3641.2789082635454</v>
      </c>
    </row>
    <row r="102" spans="1:29" x14ac:dyDescent="0.7">
      <c r="A102" s="170" t="s">
        <v>377</v>
      </c>
      <c r="B102" s="21">
        <f>B101*($B$202/'Forecast Parameters'!G206)</f>
        <v>0</v>
      </c>
      <c r="C102" s="21">
        <f>C101*($B$202/'Forecast Parameters'!H206)</f>
        <v>42.999482106967172</v>
      </c>
      <c r="D102" s="21">
        <f>D101*($B$202/'Forecast Parameters'!I206)</f>
        <v>60.16507187780968</v>
      </c>
      <c r="E102" s="21">
        <f>E101*($B$202/'Forecast Parameters'!J206)</f>
        <v>83.318200040322395</v>
      </c>
      <c r="F102" s="21">
        <f>F101*($B$202/'Forecast Parameters'!K206)</f>
        <v>113.79722424284567</v>
      </c>
      <c r="G102" s="21">
        <f>G101*($B$202/'Forecast Parameters'!L206)</f>
        <v>152.62376192207853</v>
      </c>
      <c r="H102" s="21">
        <f>H101*($B$202/'Forecast Parameters'!M206)</f>
        <v>200.05172459231329</v>
      </c>
      <c r="I102" s="21">
        <f>I101*($B$202/'Forecast Parameters'!N206)</f>
        <v>255.05548811385822</v>
      </c>
      <c r="J102" s="21">
        <f>J101*($B$202/'Forecast Parameters'!O206)</f>
        <v>317.35629278246375</v>
      </c>
      <c r="K102" s="21">
        <f>K101*($B$202/'Forecast Parameters'!P206)</f>
        <v>381.74706065121688</v>
      </c>
      <c r="L102" s="21">
        <f>L101*($B$202/'Forecast Parameters'!Q206)</f>
        <v>443.91755612066078</v>
      </c>
      <c r="M102" s="21">
        <f>M101*($B$202/'Forecast Parameters'!R206)</f>
        <v>500.16929864168674</v>
      </c>
      <c r="N102" s="21">
        <f>N101*($B$202/'Forecast Parameters'!S206)</f>
        <v>548.09654705861544</v>
      </c>
      <c r="O102" s="21">
        <f>O101*($B$202/'Forecast Parameters'!T206)</f>
        <v>586.85285104685659</v>
      </c>
      <c r="P102" s="21">
        <f>P101*($B$202/'Forecast Parameters'!U206)</f>
        <v>616.28961699825038</v>
      </c>
      <c r="Q102" s="21">
        <f>Q101*($B$202/'Forecast Parameters'!V206)</f>
        <v>638.56953935932904</v>
      </c>
      <c r="R102" s="21">
        <f>R101*($B$202/'Forecast Parameters'!W206)</f>
        <v>654.63440594981705</v>
      </c>
      <c r="S102" s="21">
        <f>S101*($B$202/'Forecast Parameters'!X206)</f>
        <v>665.91641306255963</v>
      </c>
      <c r="T102" s="21">
        <f>T101*($B$202/'Forecast Parameters'!Y206)</f>
        <v>678.21202162435134</v>
      </c>
      <c r="U102" s="21">
        <f>U101*($B$202/'Forecast Parameters'!Z206)</f>
        <v>687.90558771102178</v>
      </c>
      <c r="V102" s="21">
        <f>V101*($B$202/'Forecast Parameters'!AA206)</f>
        <v>695.69402421149584</v>
      </c>
      <c r="W102" s="21">
        <f>W101*($B$202/'Forecast Parameters'!AB206)</f>
        <v>702.12671466169422</v>
      </c>
      <c r="X102" s="21">
        <f>X101*($B$202/'Forecast Parameters'!AC206)</f>
        <v>707.60630130512789</v>
      </c>
      <c r="Y102" s="21">
        <f>Y101*($B$202/'Forecast Parameters'!AD206)</f>
        <v>715.86536347814797</v>
      </c>
      <c r="Z102" s="21">
        <f>Z101*($B$202/'Forecast Parameters'!AE206)</f>
        <v>719.45272204526748</v>
      </c>
      <c r="AA102" s="21">
        <f>AA101*($B$202/'Forecast Parameters'!AF206)</f>
        <v>723.21798116335299</v>
      </c>
      <c r="AB102" s="21">
        <f>AB101*($B$202/'Forecast Parameters'!AG206)</f>
        <v>727.18336389802755</v>
      </c>
      <c r="AC102" s="21">
        <f>AC101*($B$202/'Forecast Parameters'!AH206)</f>
        <v>731.35474242569967</v>
      </c>
    </row>
    <row r="103" spans="1:29" x14ac:dyDescent="0.7">
      <c r="A103" s="501" t="s">
        <v>42</v>
      </c>
      <c r="B103" s="502"/>
      <c r="C103" s="502"/>
      <c r="D103" s="502"/>
      <c r="E103" s="502"/>
      <c r="F103" s="502"/>
      <c r="G103" s="502"/>
      <c r="H103" s="502"/>
      <c r="I103" s="502"/>
      <c r="J103" s="502"/>
      <c r="K103" s="502"/>
      <c r="L103" s="502"/>
      <c r="M103" s="502"/>
      <c r="N103" s="502"/>
      <c r="O103" s="502"/>
      <c r="P103" s="502"/>
      <c r="Q103" s="502"/>
      <c r="R103" s="502"/>
      <c r="S103" s="502"/>
      <c r="T103" s="502"/>
      <c r="U103" s="502"/>
      <c r="V103" s="502"/>
      <c r="W103" s="502"/>
      <c r="X103" s="502"/>
      <c r="Y103" s="502"/>
      <c r="Z103" s="502"/>
      <c r="AA103" s="502"/>
      <c r="AB103" s="502"/>
      <c r="AC103" s="503"/>
    </row>
    <row r="104" spans="1:29" x14ac:dyDescent="0.7">
      <c r="A104" s="170" t="s">
        <v>423</v>
      </c>
      <c r="B104" s="21">
        <f t="shared" ref="B104:AC104" si="39">B$90*$B$229</f>
        <v>0</v>
      </c>
      <c r="C104" s="21">
        <f t="shared" si="39"/>
        <v>865.79868708971549</v>
      </c>
      <c r="D104" s="21">
        <f t="shared" si="39"/>
        <v>871.81619256017495</v>
      </c>
      <c r="E104" s="21">
        <f t="shared" si="39"/>
        <v>877.7855579868708</v>
      </c>
      <c r="F104" s="21">
        <f t="shared" si="39"/>
        <v>883.80306345733027</v>
      </c>
      <c r="G104" s="21">
        <f t="shared" si="39"/>
        <v>889.82056892778985</v>
      </c>
      <c r="H104" s="21">
        <f t="shared" si="39"/>
        <v>895.83807439824932</v>
      </c>
      <c r="I104" s="21">
        <f t="shared" si="39"/>
        <v>901.80743982494516</v>
      </c>
      <c r="J104" s="21">
        <f t="shared" si="39"/>
        <v>907.82494529540475</v>
      </c>
      <c r="K104" s="21">
        <f t="shared" si="39"/>
        <v>913.84245076586421</v>
      </c>
      <c r="L104" s="21">
        <f t="shared" si="39"/>
        <v>919.81181619256006</v>
      </c>
      <c r="M104" s="21">
        <f t="shared" si="39"/>
        <v>925.82932166301964</v>
      </c>
      <c r="N104" s="21">
        <f t="shared" si="39"/>
        <v>931.84682713347911</v>
      </c>
      <c r="O104" s="21">
        <f t="shared" si="39"/>
        <v>937.81619256017495</v>
      </c>
      <c r="P104" s="21">
        <f t="shared" si="39"/>
        <v>943.83369803063442</v>
      </c>
      <c r="Q104" s="21">
        <f t="shared" si="39"/>
        <v>949.85120350109401</v>
      </c>
      <c r="R104" s="21">
        <f t="shared" si="39"/>
        <v>955.82056892778985</v>
      </c>
      <c r="S104" s="21">
        <f t="shared" si="39"/>
        <v>961.83807439824932</v>
      </c>
      <c r="T104" s="21">
        <f t="shared" si="39"/>
        <v>968.09628008752725</v>
      </c>
      <c r="U104" s="21">
        <f t="shared" si="39"/>
        <v>974.4026258205688</v>
      </c>
      <c r="V104" s="21">
        <f t="shared" si="39"/>
        <v>980.75711159737409</v>
      </c>
      <c r="W104" s="21">
        <f t="shared" si="39"/>
        <v>987.15973741794301</v>
      </c>
      <c r="X104" s="21">
        <f t="shared" si="39"/>
        <v>993.56236323851192</v>
      </c>
      <c r="Y104" s="21">
        <f t="shared" si="39"/>
        <v>1000.0612691466082</v>
      </c>
      <c r="Z104" s="21">
        <f t="shared" si="39"/>
        <v>1006.5601750547045</v>
      </c>
      <c r="AA104" s="21">
        <f t="shared" si="39"/>
        <v>1013.1072210065645</v>
      </c>
      <c r="AB104" s="21">
        <f t="shared" si="39"/>
        <v>1019.7024070021881</v>
      </c>
      <c r="AC104" s="21">
        <f t="shared" si="39"/>
        <v>1026.3457330415754</v>
      </c>
    </row>
    <row r="105" spans="1:29" x14ac:dyDescent="0.7">
      <c r="A105" s="170" t="s">
        <v>375</v>
      </c>
      <c r="B105" s="21">
        <f>B104*B$89</f>
        <v>0</v>
      </c>
      <c r="C105" s="21">
        <f t="shared" ref="C105:N105" si="40">C104*C$89</f>
        <v>1.0027733121013129</v>
      </c>
      <c r="D105" s="21">
        <f t="shared" si="40"/>
        <v>1.4250082042509575</v>
      </c>
      <c r="E105" s="21">
        <f t="shared" si="40"/>
        <v>2.0037492964465704</v>
      </c>
      <c r="F105" s="21">
        <f t="shared" si="40"/>
        <v>2.7782162021634207</v>
      </c>
      <c r="G105" s="21">
        <f t="shared" si="40"/>
        <v>3.7817310112350104</v>
      </c>
      <c r="H105" s="21">
        <f t="shared" si="40"/>
        <v>5.0298028035606697</v>
      </c>
      <c r="I105" s="21">
        <f t="shared" si="40"/>
        <v>6.5056737618270013</v>
      </c>
      <c r="J105" s="21">
        <f t="shared" si="40"/>
        <v>8.1525937091083591</v>
      </c>
      <c r="K105" s="21">
        <f t="shared" si="40"/>
        <v>9.8762851100935229</v>
      </c>
      <c r="L105" s="21">
        <f t="shared" si="40"/>
        <v>11.565593686058872</v>
      </c>
      <c r="M105" s="21">
        <f t="shared" si="40"/>
        <v>13.122273794669233</v>
      </c>
      <c r="N105" s="21">
        <f t="shared" si="40"/>
        <v>14.479535861275009</v>
      </c>
      <c r="O105" s="21">
        <f>(O104-B105)*O89</f>
        <v>15.610314294687043</v>
      </c>
      <c r="P105" s="21">
        <f t="shared" ref="P105:AC105" si="41">(P104-C105)*P89</f>
        <v>16.505616803909835</v>
      </c>
      <c r="Q105" s="21">
        <f t="shared" si="41"/>
        <v>17.218665378853313</v>
      </c>
      <c r="R105" s="21">
        <f t="shared" si="41"/>
        <v>17.77111461876115</v>
      </c>
      <c r="S105" s="21">
        <f t="shared" si="41"/>
        <v>18.198707751517261</v>
      </c>
      <c r="T105" s="21">
        <f t="shared" si="41"/>
        <v>18.534732187097706</v>
      </c>
      <c r="U105" s="21">
        <f t="shared" si="41"/>
        <v>18.799645880199247</v>
      </c>
      <c r="V105" s="21">
        <f t="shared" si="41"/>
        <v>19.012494635588101</v>
      </c>
      <c r="W105" s="21">
        <f t="shared" si="41"/>
        <v>19.188292455348613</v>
      </c>
      <c r="X105" s="21">
        <f t="shared" si="41"/>
        <v>19.338043075646954</v>
      </c>
      <c r="Y105" s="21">
        <f t="shared" si="41"/>
        <v>19.563753473889211</v>
      </c>
      <c r="Z105" s="21">
        <f t="shared" si="41"/>
        <v>19.661791739476723</v>
      </c>
      <c r="AA105" s="21">
        <f t="shared" si="41"/>
        <v>19.764691816655532</v>
      </c>
      <c r="AB105" s="21">
        <f t="shared" si="41"/>
        <v>19.873061035517953</v>
      </c>
      <c r="AC105" s="21">
        <f t="shared" si="41"/>
        <v>19.987059875698105</v>
      </c>
    </row>
    <row r="106" spans="1:29" x14ac:dyDescent="0.7">
      <c r="A106" s="170" t="s">
        <v>385</v>
      </c>
      <c r="B106" s="21">
        <f t="shared" ref="B106:AC106" si="42">B105*$B$226</f>
        <v>0</v>
      </c>
      <c r="C106" s="21">
        <f t="shared" si="42"/>
        <v>17.047146305722318</v>
      </c>
      <c r="D106" s="21">
        <f t="shared" si="42"/>
        <v>24.225139472266278</v>
      </c>
      <c r="E106" s="21">
        <f t="shared" si="42"/>
        <v>34.063738039591698</v>
      </c>
      <c r="F106" s="21">
        <f t="shared" si="42"/>
        <v>47.229675436778152</v>
      </c>
      <c r="G106" s="21">
        <f t="shared" si="42"/>
        <v>64.289427190995184</v>
      </c>
      <c r="H106" s="21">
        <f t="shared" si="42"/>
        <v>85.506647660531385</v>
      </c>
      <c r="I106" s="21">
        <f t="shared" si="42"/>
        <v>110.59645395105902</v>
      </c>
      <c r="J106" s="21">
        <f t="shared" si="42"/>
        <v>138.59409305484212</v>
      </c>
      <c r="K106" s="21">
        <f t="shared" si="42"/>
        <v>167.8968468715899</v>
      </c>
      <c r="L106" s="21">
        <f t="shared" si="42"/>
        <v>196.61509266300081</v>
      </c>
      <c r="M106" s="21">
        <f t="shared" si="42"/>
        <v>223.07865450937697</v>
      </c>
      <c r="N106" s="21">
        <f t="shared" si="42"/>
        <v>246.15210964167514</v>
      </c>
      <c r="O106" s="21">
        <f t="shared" si="42"/>
        <v>265.37534300967974</v>
      </c>
      <c r="P106" s="21">
        <f t="shared" si="42"/>
        <v>280.5954856664672</v>
      </c>
      <c r="Q106" s="21">
        <f t="shared" si="42"/>
        <v>292.71731144050631</v>
      </c>
      <c r="R106" s="21">
        <f t="shared" si="42"/>
        <v>302.10894851893954</v>
      </c>
      <c r="S106" s="21">
        <f t="shared" si="42"/>
        <v>309.37803177579343</v>
      </c>
      <c r="T106" s="21">
        <f t="shared" si="42"/>
        <v>315.09044718066099</v>
      </c>
      <c r="U106" s="21">
        <f t="shared" si="42"/>
        <v>319.5939799633872</v>
      </c>
      <c r="V106" s="21">
        <f t="shared" si="42"/>
        <v>323.21240880499772</v>
      </c>
      <c r="W106" s="21">
        <f t="shared" si="42"/>
        <v>326.20097174092643</v>
      </c>
      <c r="X106" s="21">
        <f t="shared" si="42"/>
        <v>328.74673228599823</v>
      </c>
      <c r="Y106" s="21">
        <f t="shared" si="42"/>
        <v>332.58380905611659</v>
      </c>
      <c r="Z106" s="21">
        <f t="shared" si="42"/>
        <v>334.25045957110427</v>
      </c>
      <c r="AA106" s="21">
        <f t="shared" si="42"/>
        <v>335.99976088314406</v>
      </c>
      <c r="AB106" s="21">
        <f t="shared" si="42"/>
        <v>337.84203760380518</v>
      </c>
      <c r="AC106" s="21">
        <f t="shared" si="42"/>
        <v>339.78001788686777</v>
      </c>
    </row>
    <row r="107" spans="1:29" x14ac:dyDescent="0.7">
      <c r="A107" s="170" t="s">
        <v>377</v>
      </c>
      <c r="B107" s="21">
        <f>B106*($B$202/'Forecast Parameters'!G206)</f>
        <v>0</v>
      </c>
      <c r="C107" s="21">
        <f>C106*($B$202/'Forecast Parameters'!H206)</f>
        <v>4.0124267235543218</v>
      </c>
      <c r="D107" s="21">
        <f>D106*($B$202/'Forecast Parameters'!I206)</f>
        <v>5.6142058089572906</v>
      </c>
      <c r="E107" s="21">
        <f>E106*($B$202/'Forecast Parameters'!J206)</f>
        <v>7.7747022991717989</v>
      </c>
      <c r="F107" s="21">
        <f>F106*($B$202/'Forecast Parameters'!K206)</f>
        <v>10.618802860984101</v>
      </c>
      <c r="G107" s="21">
        <f>G106*($B$202/'Forecast Parameters'!L206)</f>
        <v>14.241838063587169</v>
      </c>
      <c r="H107" s="21">
        <f>H106*($B$202/'Forecast Parameters'!M206)</f>
        <v>18.667501246887518</v>
      </c>
      <c r="I107" s="21">
        <f>I106*($B$202/'Forecast Parameters'!N206)</f>
        <v>23.800087962720301</v>
      </c>
      <c r="J107" s="21">
        <f>J106*($B$202/'Forecast Parameters'!O206)</f>
        <v>29.61358620275486</v>
      </c>
      <c r="K107" s="21">
        <f>K106*($B$202/'Forecast Parameters'!P206)</f>
        <v>35.622105958970842</v>
      </c>
      <c r="L107" s="21">
        <f>L106*($B$202/'Forecast Parameters'!Q206)</f>
        <v>41.423444608065651</v>
      </c>
      <c r="M107" s="21">
        <f>M106*($B$202/'Forecast Parameters'!R206)</f>
        <v>46.672484454089535</v>
      </c>
      <c r="N107" s="21">
        <f>N106*($B$202/'Forecast Parameters'!S206)</f>
        <v>51.14473767463128</v>
      </c>
      <c r="O107" s="21">
        <f>O106*($B$202/'Forecast Parameters'!T206)</f>
        <v>54.761219134611878</v>
      </c>
      <c r="P107" s="21">
        <f>P106*($B$202/'Forecast Parameters'!U206)</f>
        <v>57.508063063209981</v>
      </c>
      <c r="Q107" s="21">
        <f>Q106*($B$202/'Forecast Parameters'!V206)</f>
        <v>59.587077774548177</v>
      </c>
      <c r="R107" s="21">
        <f>R106*($B$202/'Forecast Parameters'!W206)</f>
        <v>61.086144666973958</v>
      </c>
      <c r="S107" s="21">
        <f>S106*($B$202/'Forecast Parameters'!X206)</f>
        <v>62.138906807733854</v>
      </c>
      <c r="T107" s="21">
        <f>T106*($B$202/'Forecast Parameters'!Y206)</f>
        <v>63.286251518839173</v>
      </c>
      <c r="U107" s="21">
        <f>U106*($B$202/'Forecast Parameters'!Z206)</f>
        <v>64.190790869242051</v>
      </c>
      <c r="V107" s="21">
        <f>V106*($B$202/'Forecast Parameters'!AA206)</f>
        <v>64.917556151471913</v>
      </c>
      <c r="W107" s="21">
        <f>W106*($B$202/'Forecast Parameters'!AB206)</f>
        <v>65.517812196475461</v>
      </c>
      <c r="X107" s="21">
        <f>X106*($B$202/'Forecast Parameters'!AC206)</f>
        <v>66.029130910209034</v>
      </c>
      <c r="Y107" s="21">
        <f>Y106*($B$202/'Forecast Parameters'!AD206)</f>
        <v>66.799811861483875</v>
      </c>
      <c r="Z107" s="21">
        <f>Z106*($B$202/'Forecast Parameters'!AE206)</f>
        <v>67.134560390451611</v>
      </c>
      <c r="AA107" s="21">
        <f>AA106*($B$202/'Forecast Parameters'!AF206)</f>
        <v>67.485909419933648</v>
      </c>
      <c r="AB107" s="21">
        <f>AB106*($B$202/'Forecast Parameters'!AG206)</f>
        <v>67.855932659147285</v>
      </c>
      <c r="AC107" s="21">
        <f>AC106*($B$202/'Forecast Parameters'!AH206)</f>
        <v>68.245178060681553</v>
      </c>
    </row>
    <row r="108" spans="1:29" x14ac:dyDescent="0.7">
      <c r="A108" s="501" t="s">
        <v>386</v>
      </c>
      <c r="B108" s="502"/>
      <c r="C108" s="502"/>
      <c r="D108" s="502"/>
      <c r="E108" s="502"/>
      <c r="F108" s="502"/>
      <c r="G108" s="502"/>
      <c r="H108" s="502"/>
      <c r="I108" s="502"/>
      <c r="J108" s="502"/>
      <c r="K108" s="502"/>
      <c r="L108" s="502"/>
      <c r="M108" s="502"/>
      <c r="N108" s="502"/>
      <c r="O108" s="502"/>
      <c r="P108" s="502"/>
      <c r="Q108" s="502"/>
      <c r="R108" s="502"/>
      <c r="S108" s="502"/>
      <c r="T108" s="502"/>
      <c r="U108" s="502"/>
      <c r="V108" s="502"/>
      <c r="W108" s="502"/>
      <c r="X108" s="502"/>
      <c r="Y108" s="502"/>
      <c r="Z108" s="502"/>
      <c r="AA108" s="502"/>
      <c r="AB108" s="502"/>
      <c r="AC108" s="503"/>
    </row>
    <row r="109" spans="1:29" x14ac:dyDescent="0.7">
      <c r="A109" s="170" t="s">
        <v>388</v>
      </c>
      <c r="B109" s="21">
        <f>(B96-B97)+B102+B107</f>
        <v>0</v>
      </c>
      <c r="C109" s="21">
        <f>((C96-C97)+C102+C107)+B109</f>
        <v>92.020331862070748</v>
      </c>
      <c r="D109" s="21">
        <f t="shared" ref="D109:AC109" si="43">((D96-D97)+D102+D107)+C109</f>
        <v>222.33015515410546</v>
      </c>
      <c r="E109" s="21">
        <f t="shared" si="43"/>
        <v>404.93947076228824</v>
      </c>
      <c r="F109" s="21">
        <f t="shared" si="43"/>
        <v>657.29027265958416</v>
      </c>
      <c r="G109" s="21">
        <f t="shared" si="43"/>
        <v>999.68430007990787</v>
      </c>
      <c r="H109" s="21">
        <f t="shared" si="43"/>
        <v>1453.6465274473428</v>
      </c>
      <c r="I109" s="21">
        <f t="shared" si="43"/>
        <v>2039.0147926042193</v>
      </c>
      <c r="J109" s="21">
        <f t="shared" si="43"/>
        <v>2771.4672435530147</v>
      </c>
      <c r="K109" s="21">
        <f t="shared" si="43"/>
        <v>3657.4642148776788</v>
      </c>
      <c r="L109" s="21">
        <f t="shared" si="43"/>
        <v>4693.4877298161855</v>
      </c>
      <c r="M109" s="21">
        <f t="shared" si="43"/>
        <v>5867.2543924638576</v>
      </c>
      <c r="N109" s="21">
        <f t="shared" si="43"/>
        <v>7160.5746865488982</v>
      </c>
      <c r="O109" s="21">
        <f t="shared" si="43"/>
        <v>8552.9281929857552</v>
      </c>
      <c r="P109" s="21">
        <f t="shared" si="43"/>
        <v>10023.084582822878</v>
      </c>
      <c r="Q109" s="21">
        <f t="shared" si="43"/>
        <v>11554.639366492649</v>
      </c>
      <c r="R109" s="21">
        <f t="shared" si="43"/>
        <v>13133.181640080486</v>
      </c>
      <c r="S109" s="21">
        <f t="shared" si="43"/>
        <v>14747.531627747301</v>
      </c>
      <c r="T109" s="21">
        <f t="shared" si="43"/>
        <v>16391.689283675059</v>
      </c>
      <c r="U109" s="21">
        <f t="shared" si="43"/>
        <v>18059.346598096734</v>
      </c>
      <c r="V109" s="21">
        <f t="shared" si="43"/>
        <v>19745.885054538408</v>
      </c>
      <c r="W109" s="21">
        <f t="shared" si="43"/>
        <v>21448.017981314857</v>
      </c>
      <c r="X109" s="21">
        <f t="shared" si="43"/>
        <v>23163.43481348352</v>
      </c>
      <c r="Y109" s="21">
        <f t="shared" si="43"/>
        <v>24898.87370345946</v>
      </c>
      <c r="Z109" s="21">
        <f t="shared" si="43"/>
        <v>26643.009258880171</v>
      </c>
      <c r="AA109" s="21">
        <f t="shared" si="43"/>
        <v>28396.272755723574</v>
      </c>
      <c r="AB109" s="21">
        <f t="shared" si="43"/>
        <v>30159.149344305286</v>
      </c>
      <c r="AC109" s="21">
        <f t="shared" si="43"/>
        <v>31932.138410583306</v>
      </c>
    </row>
    <row r="110" spans="1:29" x14ac:dyDescent="0.7">
      <c r="A110" s="170" t="s">
        <v>387</v>
      </c>
      <c r="B110" s="21">
        <f>-B101</f>
        <v>0</v>
      </c>
      <c r="C110" s="21">
        <f>-C101+B110</f>
        <v>-182.68706522282099</v>
      </c>
      <c r="D110" s="21">
        <f t="shared" ref="D110:AC110" si="44">-D101+C110</f>
        <v>-442.29765079726815</v>
      </c>
      <c r="E110" s="21">
        <f t="shared" si="44"/>
        <v>-807.34434080444339</v>
      </c>
      <c r="F110" s="21">
        <f t="shared" si="44"/>
        <v>-1313.4848198167613</v>
      </c>
      <c r="G110" s="21">
        <f t="shared" si="44"/>
        <v>-2002.4474513181212</v>
      </c>
      <c r="H110" s="21">
        <f t="shared" si="44"/>
        <v>-2918.7860711668104</v>
      </c>
      <c r="I110" s="21">
        <f t="shared" si="44"/>
        <v>-4104.0015455942021</v>
      </c>
      <c r="J110" s="21">
        <f t="shared" si="44"/>
        <v>-5589.2558904172156</v>
      </c>
      <c r="K110" s="21">
        <f t="shared" si="44"/>
        <v>-7388.5354686560722</v>
      </c>
      <c r="L110" s="21">
        <f t="shared" si="44"/>
        <v>-9495.5763547344341</v>
      </c>
      <c r="M110" s="21">
        <f t="shared" si="44"/>
        <v>-11886.216053326902</v>
      </c>
      <c r="N110" s="21">
        <f t="shared" si="44"/>
        <v>-14524.124222962822</v>
      </c>
      <c r="O110" s="21">
        <f t="shared" si="44"/>
        <v>-17368.039663558535</v>
      </c>
      <c r="P110" s="21">
        <f t="shared" si="44"/>
        <v>-20375.062943107201</v>
      </c>
      <c r="Q110" s="21">
        <f t="shared" si="44"/>
        <v>-23511.990708491023</v>
      </c>
      <c r="R110" s="21">
        <f t="shared" si="44"/>
        <v>-26749.564680854419</v>
      </c>
      <c r="S110" s="21">
        <f t="shared" si="44"/>
        <v>-30065.038347585381</v>
      </c>
      <c r="T110" s="21">
        <f t="shared" si="44"/>
        <v>-33441.729556943908</v>
      </c>
      <c r="U110" s="21">
        <f t="shared" si="44"/>
        <v>-36866.683224572931</v>
      </c>
      <c r="V110" s="21">
        <f t="shared" si="44"/>
        <v>-40330.41406545644</v>
      </c>
      <c r="W110" s="21">
        <f t="shared" si="44"/>
        <v>-43826.172072776317</v>
      </c>
      <c r="X110" s="21">
        <f t="shared" si="44"/>
        <v>-47349.211920376001</v>
      </c>
      <c r="Y110" s="21">
        <f t="shared" si="44"/>
        <v>-50913.372098710002</v>
      </c>
      <c r="Z110" s="21">
        <f t="shared" si="44"/>
        <v>-54495.393066520126</v>
      </c>
      <c r="AA110" s="21">
        <f t="shared" si="44"/>
        <v>-58096.160557481737</v>
      </c>
      <c r="AB110" s="21">
        <f t="shared" si="44"/>
        <v>-61716.670949770647</v>
      </c>
      <c r="AC110" s="21">
        <f t="shared" si="44"/>
        <v>-65357.94985803419</v>
      </c>
    </row>
    <row r="111" spans="1:29" x14ac:dyDescent="0.7">
      <c r="A111" s="170" t="s">
        <v>389</v>
      </c>
      <c r="B111" s="21">
        <f>-B107</f>
        <v>0</v>
      </c>
      <c r="C111" s="21">
        <f>-C107+B111</f>
        <v>-4.0124267235543218</v>
      </c>
      <c r="D111" s="21">
        <f t="shared" ref="D111:AC111" si="45">-D107+C111</f>
        <v>-9.6266325325116124</v>
      </c>
      <c r="E111" s="21">
        <f t="shared" si="45"/>
        <v>-17.40133483168341</v>
      </c>
      <c r="F111" s="21">
        <f t="shared" si="45"/>
        <v>-28.020137692667511</v>
      </c>
      <c r="G111" s="21">
        <f t="shared" si="45"/>
        <v>-42.261975756254678</v>
      </c>
      <c r="H111" s="21">
        <f t="shared" si="45"/>
        <v>-60.929477003142196</v>
      </c>
      <c r="I111" s="21">
        <f t="shared" si="45"/>
        <v>-84.729564965862494</v>
      </c>
      <c r="J111" s="21">
        <f t="shared" si="45"/>
        <v>-114.34315116861735</v>
      </c>
      <c r="K111" s="21">
        <f t="shared" si="45"/>
        <v>-149.96525712758819</v>
      </c>
      <c r="L111" s="21">
        <f t="shared" si="45"/>
        <v>-191.38870173565385</v>
      </c>
      <c r="M111" s="21">
        <f t="shared" si="45"/>
        <v>-238.06118618974338</v>
      </c>
      <c r="N111" s="21">
        <f t="shared" si="45"/>
        <v>-289.20592386437465</v>
      </c>
      <c r="O111" s="21">
        <f t="shared" si="45"/>
        <v>-343.96714299898656</v>
      </c>
      <c r="P111" s="21">
        <f t="shared" si="45"/>
        <v>-401.47520606219655</v>
      </c>
      <c r="Q111" s="21">
        <f t="shared" si="45"/>
        <v>-461.06228383674471</v>
      </c>
      <c r="R111" s="21">
        <f t="shared" si="45"/>
        <v>-522.14842850371872</v>
      </c>
      <c r="S111" s="21">
        <f t="shared" si="45"/>
        <v>-584.28733531145258</v>
      </c>
      <c r="T111" s="21">
        <f t="shared" si="45"/>
        <v>-647.57358683029179</v>
      </c>
      <c r="U111" s="21">
        <f t="shared" si="45"/>
        <v>-711.76437769953384</v>
      </c>
      <c r="V111" s="21">
        <f t="shared" si="45"/>
        <v>-776.68193385100574</v>
      </c>
      <c r="W111" s="21">
        <f t="shared" si="45"/>
        <v>-842.1997460474812</v>
      </c>
      <c r="X111" s="21">
        <f t="shared" si="45"/>
        <v>-908.2288769576902</v>
      </c>
      <c r="Y111" s="21">
        <f t="shared" si="45"/>
        <v>-975.02868881917402</v>
      </c>
      <c r="Z111" s="21">
        <f t="shared" si="45"/>
        <v>-1042.1632492096255</v>
      </c>
      <c r="AA111" s="21">
        <f t="shared" si="45"/>
        <v>-1109.6491586295592</v>
      </c>
      <c r="AB111" s="21">
        <f t="shared" si="45"/>
        <v>-1177.5050912887066</v>
      </c>
      <c r="AC111" s="21">
        <f t="shared" si="45"/>
        <v>-1245.7502693493882</v>
      </c>
    </row>
    <row r="112" spans="1:29" x14ac:dyDescent="0.7">
      <c r="A112" s="504" t="s">
        <v>312</v>
      </c>
      <c r="B112" s="505"/>
      <c r="C112" s="505"/>
      <c r="D112" s="505"/>
      <c r="E112" s="505"/>
      <c r="F112" s="505"/>
      <c r="G112" s="505"/>
      <c r="H112" s="505"/>
      <c r="I112" s="505"/>
      <c r="J112" s="505"/>
      <c r="K112" s="505"/>
      <c r="L112" s="505"/>
      <c r="M112" s="505"/>
      <c r="N112" s="505"/>
      <c r="O112" s="505"/>
      <c r="P112" s="505"/>
      <c r="Q112" s="505"/>
      <c r="R112" s="505"/>
      <c r="S112" s="505"/>
      <c r="T112" s="505"/>
      <c r="U112" s="505"/>
      <c r="V112" s="505"/>
      <c r="W112" s="505"/>
      <c r="X112" s="505"/>
      <c r="Y112" s="505"/>
      <c r="Z112" s="505"/>
      <c r="AA112" s="505"/>
      <c r="AB112" s="505"/>
      <c r="AC112" s="506"/>
    </row>
    <row r="113" spans="1:29" ht="40.799999999999997" x14ac:dyDescent="0.7">
      <c r="A113" s="161" t="s">
        <v>349</v>
      </c>
      <c r="B113" s="174">
        <f>'Forecast Parameters'!I214</f>
        <v>9.393200300000001E-4</v>
      </c>
      <c r="C113" s="174">
        <f>'Forecast Parameters'!J214</f>
        <v>1.28229151E-3</v>
      </c>
      <c r="D113" s="174">
        <f>'Forecast Parameters'!K214</f>
        <v>1.75822938E-3</v>
      </c>
      <c r="E113" s="174">
        <f>'Forecast Parameters'!L214</f>
        <v>2.4067920900000001E-3</v>
      </c>
      <c r="F113" s="174">
        <f>'Forecast Parameters'!M214</f>
        <v>3.2684740800000005E-3</v>
      </c>
      <c r="G113" s="174">
        <f>'Forecast Parameters'!N214</f>
        <v>4.3768214300437683E-3</v>
      </c>
      <c r="H113" s="174">
        <f>'Forecast Parameters'!O214</f>
        <v>5.7439666499425604E-3</v>
      </c>
      <c r="I113" s="174">
        <f>'Forecast Parameters'!P214</f>
        <v>7.3466689199999996E-3</v>
      </c>
      <c r="J113" s="174">
        <f>'Forecast Parameters'!Q214</f>
        <v>9.1168416900911688E-3</v>
      </c>
      <c r="K113" s="174">
        <f>'Forecast Parameters'!R214</f>
        <v>1.0947670350109477E-2</v>
      </c>
      <c r="L113" s="174">
        <f>'Forecast Parameters'!S214</f>
        <v>1.271793002E-2</v>
      </c>
      <c r="M113" s="174">
        <f>'Forecast Parameters'!T214</f>
        <v>1.432048097E-2</v>
      </c>
      <c r="N113" s="174">
        <f>'Forecast Parameters'!U214</f>
        <v>1.5687656309999999E-2</v>
      </c>
      <c r="O113" s="174">
        <f>'Forecast Parameters'!V214</f>
        <v>1.6795879270000001E-2</v>
      </c>
      <c r="P113" s="174">
        <f>'Forecast Parameters'!W214</f>
        <v>1.765780543E-2</v>
      </c>
      <c r="Q113" s="174">
        <f>'Forecast Parameters'!X214</f>
        <v>1.8306491570183065E-2</v>
      </c>
      <c r="R113" s="174">
        <f>'Forecast Parameters'!Y214</f>
        <v>1.8782381850187827E-2</v>
      </c>
      <c r="S113" s="174">
        <f>'Forecast Parameters'!Z214</f>
        <v>1.9125853870000004E-2</v>
      </c>
      <c r="T113" s="174">
        <f>'Forecast Parameters'!AA214</f>
        <v>1.9369713229806303E-2</v>
      </c>
      <c r="U113" s="174">
        <f>'Forecast Parameters'!AB214</f>
        <v>1.954142557E-2</v>
      </c>
      <c r="V113" s="174">
        <f>'Forecast Parameters'!AC214</f>
        <v>1.9661426409999998E-2</v>
      </c>
      <c r="W113" s="174">
        <f>'Forecast Parameters'!AD214</f>
        <v>1.97447215E-2</v>
      </c>
      <c r="X113" s="174">
        <f>'Forecast Parameters'!AE214</f>
        <v>1.980205849E-2</v>
      </c>
      <c r="Y113" s="174">
        <f>'Forecast Parameters'!AF214</f>
        <v>1.993352768E-2</v>
      </c>
      <c r="Z113" s="174">
        <f>'Forecast Parameters'!AG214</f>
        <v>1.9931740749999999E-2</v>
      </c>
      <c r="AA113" s="174">
        <f>'Forecast Parameters'!AH214</f>
        <v>1.9930122509999999E-2</v>
      </c>
      <c r="AB113" s="174">
        <f>'Forecast Parameters'!AI214</f>
        <v>1.992863286E-2</v>
      </c>
      <c r="AC113" s="174">
        <f>'Forecast Parameters'!AJ214</f>
        <v>1.9926960890199272E-2</v>
      </c>
    </row>
    <row r="114" spans="1:29" x14ac:dyDescent="0.7">
      <c r="A114" s="170" t="s">
        <v>390</v>
      </c>
      <c r="B114" s="21">
        <v>0</v>
      </c>
      <c r="C114" s="21">
        <f>ROUND('Forecast Parameters'!D56*(1/'Baseline Building Energy'!$B$199),0)</f>
        <v>10961238</v>
      </c>
      <c r="D114" s="21">
        <f>ROUND('Forecast Parameters'!E56*(1/'Baseline Building Energy'!$B$199),0)</f>
        <v>11036452</v>
      </c>
      <c r="E114" s="21">
        <f>ROUND('Forecast Parameters'!F56*(1/'Baseline Building Energy'!$B$199),0)</f>
        <v>11111666</v>
      </c>
      <c r="F114" s="21">
        <f>ROUND('Forecast Parameters'!G56*(1/'Baseline Building Energy'!$B$199),0)</f>
        <v>11186881</v>
      </c>
      <c r="G114" s="21">
        <f>ROUND('Forecast Parameters'!H56*(1/'Baseline Building Energy'!$B$199),0)</f>
        <v>11262095</v>
      </c>
      <c r="H114" s="21">
        <f>ROUND('Forecast Parameters'!I56*(1/'Baseline Building Energy'!$B$199),0)</f>
        <v>11337309</v>
      </c>
      <c r="I114" s="21">
        <f>ROUND('Forecast Parameters'!J56*(1/'Baseline Building Energy'!$B$199),0)</f>
        <v>11412523</v>
      </c>
      <c r="J114" s="21">
        <f>ROUND('Forecast Parameters'!K56*(1/'Baseline Building Energy'!$B$199),0)</f>
        <v>11487737</v>
      </c>
      <c r="K114" s="21">
        <f>ROUND('Forecast Parameters'!L56*(1/'Baseline Building Energy'!$B$199),0)</f>
        <v>11562951</v>
      </c>
      <c r="L114" s="21">
        <f>ROUND('Forecast Parameters'!M56*(1/'Baseline Building Energy'!$B$199),0)</f>
        <v>11638165</v>
      </c>
      <c r="M114" s="21">
        <f>ROUND('Forecast Parameters'!N56*(1/'Baseline Building Energy'!$B$199),0)</f>
        <v>11713379</v>
      </c>
      <c r="N114" s="21">
        <f>ROUND('Forecast Parameters'!O56*(1/'Baseline Building Energy'!$B$199),0)</f>
        <v>11788593</v>
      </c>
      <c r="O114" s="21">
        <f>ROUND('Forecast Parameters'!P56*(1/'Baseline Building Energy'!$B$199),0)</f>
        <v>11863807</v>
      </c>
      <c r="P114" s="21">
        <f>ROUND('Forecast Parameters'!Q56*(1/'Baseline Building Energy'!$B$199),0)</f>
        <v>11939021</v>
      </c>
      <c r="Q114" s="21">
        <f>ROUND('Forecast Parameters'!R56*(1/'Baseline Building Energy'!$B$199),0)</f>
        <v>12014235</v>
      </c>
      <c r="R114" s="21">
        <f>ROUND('Forecast Parameters'!S56*(1/'Baseline Building Energy'!$B$199),0)</f>
        <v>12089449</v>
      </c>
      <c r="S114" s="21">
        <f>ROUND('Forecast Parameters'!T56*(1/'Baseline Building Energy'!$B$199),0)</f>
        <v>12164663</v>
      </c>
      <c r="T114" s="21">
        <f>ROUND('Forecast Parameters'!U56*(1/'Baseline Building Energy'!$B$199),0)</f>
        <v>12243075</v>
      </c>
      <c r="U114" s="21">
        <f>ROUND('Forecast Parameters'!V56*(1/'Baseline Building Energy'!$B$199),0)</f>
        <v>12321991</v>
      </c>
      <c r="V114" s="21">
        <f>ROUND('Forecast Parameters'!W56*(1/'Baseline Building Energy'!$B$199),0)</f>
        <v>12401417</v>
      </c>
      <c r="W114" s="21">
        <f>ROUND('Forecast Parameters'!X56*(1/'Baseline Building Energy'!$B$199),0)</f>
        <v>12481355</v>
      </c>
      <c r="X114" s="21">
        <f>ROUND('Forecast Parameters'!Y56*(1/'Baseline Building Energy'!$B$199),0)</f>
        <v>12561807</v>
      </c>
      <c r="Y114" s="21">
        <f>ROUND('Forecast Parameters'!Z56*(1/'Baseline Building Energy'!$B$199),0)</f>
        <v>12642779</v>
      </c>
      <c r="Z114" s="21">
        <f>ROUND('Forecast Parameters'!AA56*(1/'Baseline Building Energy'!$B$199),0)</f>
        <v>12724272</v>
      </c>
      <c r="AA114" s="21">
        <f>ROUND('Forecast Parameters'!AB56*(1/'Baseline Building Energy'!$B$199),0)</f>
        <v>12806291</v>
      </c>
      <c r="AB114" s="21">
        <f>ROUND('Forecast Parameters'!AC56*(1/'Baseline Building Energy'!$B$199),0)</f>
        <v>12888838</v>
      </c>
      <c r="AC114" s="21">
        <f>ROUND('Forecast Parameters'!AD56*(1/'Baseline Building Energy'!$B$199),0)</f>
        <v>12971917</v>
      </c>
    </row>
    <row r="115" spans="1:29" x14ac:dyDescent="0.7">
      <c r="A115" s="173" t="s">
        <v>394</v>
      </c>
      <c r="B115" s="21">
        <f>SUM($B$90:B114)</f>
        <v>9.393200300000001E-4</v>
      </c>
      <c r="C115" s="21">
        <f>SUM($B$90:C114)</f>
        <v>11015463.102583282</v>
      </c>
      <c r="D115" s="21">
        <f>SUM($B$90:D114)</f>
        <v>22124517.288049854</v>
      </c>
      <c r="E115" s="21">
        <f>SUM($B$90:E114)</f>
        <v>33327284.96258859</v>
      </c>
      <c r="F115" s="21">
        <f>SUM($B$90:F114)</f>
        <v>44623889.315276936</v>
      </c>
      <c r="G115" s="21">
        <f>SUM($B$90:G114)</f>
        <v>56014438.75884106</v>
      </c>
      <c r="H115" s="21">
        <f>SUM($B$90:H114)</f>
        <v>67499023.817266494</v>
      </c>
      <c r="I115" s="21">
        <f>SUM($B$90:I114)</f>
        <v>79077703.026521772</v>
      </c>
      <c r="J115" s="21">
        <f>SUM($B$90:J114)</f>
        <v>90750506.77720809</v>
      </c>
      <c r="K115" s="21">
        <f>SUM($B$90:K114)</f>
        <v>102517419.46360636</v>
      </c>
      <c r="L115" s="21">
        <f>SUM($B$90:L114)</f>
        <v>114378385.77385449</v>
      </c>
      <c r="M115" s="21">
        <f>SUM($B$90:M114)</f>
        <v>126333332.96301018</v>
      </c>
      <c r="N115" s="21">
        <f>SUM($B$90:N114)</f>
        <v>138382181.68669111</v>
      </c>
      <c r="O115" s="21">
        <f>SUM($B$90:O114)</f>
        <v>150524861.88548332</v>
      </c>
      <c r="P115" s="21">
        <f>SUM($B$90:P114)</f>
        <v>162761328.17055154</v>
      </c>
      <c r="Q115" s="21">
        <f>SUM($B$90:Q114)</f>
        <v>175091569.77721691</v>
      </c>
      <c r="R115" s="21">
        <f>SUM($B$90:R114)</f>
        <v>187515596.26795995</v>
      </c>
      <c r="S115" s="21">
        <f>SUM($B$90:S114)</f>
        <v>200033447.04981881</v>
      </c>
      <c r="T115" s="21">
        <f>SUM($B$90:T114)</f>
        <v>212648402.65483141</v>
      </c>
      <c r="U115" s="21">
        <f>SUM($B$90:U114)</f>
        <v>225361049.30797324</v>
      </c>
      <c r="V115" s="21">
        <f>SUM($B$90:V114)</f>
        <v>238171992.00343072</v>
      </c>
      <c r="W115" s="21">
        <f>SUM($B$90:W114)</f>
        <v>251081847.62635815</v>
      </c>
      <c r="X115" s="21">
        <f>SUM($B$90:X114)</f>
        <v>264091239.47079223</v>
      </c>
      <c r="Y115" s="21">
        <f>SUM($B$90:Y114)</f>
        <v>277200831.48755234</v>
      </c>
      <c r="Z115" s="21">
        <f>SUM($B$90:Z114)</f>
        <v>290411225.09945732</v>
      </c>
      <c r="AA115" s="21">
        <f>SUM($B$90:AA114)</f>
        <v>303723076.0531736</v>
      </c>
      <c r="AB115" s="21">
        <f>SUM($B$90:AB114)</f>
        <v>317137042.77990007</v>
      </c>
      <c r="AC115" s="21">
        <f>SUM($B$90:AC114)</f>
        <v>330653788.22204638</v>
      </c>
    </row>
    <row r="116" spans="1:29" ht="40.799999999999997" x14ac:dyDescent="0.7">
      <c r="A116" s="173" t="s">
        <v>393</v>
      </c>
      <c r="B116" s="21"/>
      <c r="C116" s="21" t="str">
        <f>IF(C115&gt;='Forecast Parameters'!D56,"X","")</f>
        <v/>
      </c>
      <c r="D116" s="21" t="str">
        <f>IF(D115&gt;='Forecast Parameters'!E56,"X","")</f>
        <v/>
      </c>
      <c r="E116" s="21" t="str">
        <f>IF(E115&gt;='Forecast Parameters'!F56,"X","")</f>
        <v/>
      </c>
      <c r="F116" s="21" t="str">
        <f>IF(F115&gt;='Forecast Parameters'!G56,"X","")</f>
        <v/>
      </c>
      <c r="G116" s="21" t="str">
        <f>IF(G115&gt;='Forecast Parameters'!H56,"X","")</f>
        <v/>
      </c>
      <c r="H116" s="21" t="str">
        <f>IF(H115&gt;='Forecast Parameters'!I56,"X","")</f>
        <v/>
      </c>
      <c r="I116" s="21" t="str">
        <f>IF(I115&gt;='Forecast Parameters'!J56,"X","")</f>
        <v/>
      </c>
      <c r="J116" s="21" t="str">
        <f>IF(J115&gt;='Forecast Parameters'!K56,"X","")</f>
        <v/>
      </c>
      <c r="K116" s="21" t="str">
        <f>IF(K115&gt;='Forecast Parameters'!L56,"X","")</f>
        <v/>
      </c>
      <c r="L116" s="21" t="str">
        <f>IF(L115&gt;='Forecast Parameters'!M56,"X","")</f>
        <v/>
      </c>
      <c r="M116" s="21" t="str">
        <f>IF(M115&gt;='Forecast Parameters'!N56,"X","")</f>
        <v/>
      </c>
      <c r="N116" s="21" t="str">
        <f>IF(N115&gt;='Forecast Parameters'!O56,"X","")</f>
        <v/>
      </c>
      <c r="O116" s="21" t="str">
        <f>IF(O115&gt;='Forecast Parameters'!P56,"X","")</f>
        <v/>
      </c>
      <c r="P116" s="21" t="str">
        <f>IF(P115&gt;='Forecast Parameters'!Q56,"X","")</f>
        <v/>
      </c>
      <c r="Q116" s="21" t="str">
        <f>IF(Q115&gt;='Forecast Parameters'!R56,"X","")</f>
        <v>X</v>
      </c>
      <c r="R116" s="21" t="str">
        <f>IF(R115&gt;='Forecast Parameters'!S56,"X","")</f>
        <v>X</v>
      </c>
      <c r="S116" s="21" t="str">
        <f>IF(S115&gt;='Forecast Parameters'!T56,"X","")</f>
        <v>X</v>
      </c>
      <c r="T116" s="21" t="str">
        <f>IF(T115&gt;='Forecast Parameters'!U56,"X","")</f>
        <v>X</v>
      </c>
      <c r="U116" s="21" t="str">
        <f>IF(U115&gt;='Forecast Parameters'!V56,"X","")</f>
        <v>X</v>
      </c>
      <c r="V116" s="21" t="str">
        <f>IF(V115&gt;='Forecast Parameters'!W56,"X","")</f>
        <v>X</v>
      </c>
      <c r="W116" s="21" t="str">
        <f>IF(W115&gt;='Forecast Parameters'!X56,"X","")</f>
        <v>X</v>
      </c>
      <c r="X116" s="21" t="str">
        <f>IF(X115&gt;='Forecast Parameters'!Y56,"X","")</f>
        <v>X</v>
      </c>
      <c r="Y116" s="21" t="str">
        <f>IF(Y115&gt;='Forecast Parameters'!Z56,"X","")</f>
        <v>X</v>
      </c>
      <c r="Z116" s="21" t="str">
        <f>IF(Z115&gt;='Forecast Parameters'!AA56,"X","")</f>
        <v>X</v>
      </c>
      <c r="AA116" s="21" t="str">
        <f>IF(AA115&gt;='Forecast Parameters'!AB56,"X","")</f>
        <v>X</v>
      </c>
      <c r="AB116" s="21" t="str">
        <f>IF(AB115&gt;='Forecast Parameters'!AC56,"X","")</f>
        <v>X</v>
      </c>
      <c r="AC116" s="21" t="str">
        <f>IF(AC115&gt;='Forecast Parameters'!AD56,"X","")</f>
        <v>X</v>
      </c>
    </row>
    <row r="117" spans="1:29" x14ac:dyDescent="0.7">
      <c r="A117" s="498" t="s">
        <v>370</v>
      </c>
      <c r="B117" s="499"/>
      <c r="C117" s="499"/>
      <c r="D117" s="499"/>
      <c r="E117" s="499"/>
      <c r="F117" s="499"/>
      <c r="G117" s="499"/>
      <c r="H117" s="499"/>
      <c r="I117" s="499"/>
      <c r="J117" s="499"/>
      <c r="K117" s="499"/>
      <c r="L117" s="499"/>
      <c r="M117" s="499"/>
      <c r="N117" s="499"/>
      <c r="O117" s="499"/>
      <c r="P117" s="499"/>
      <c r="Q117" s="499"/>
      <c r="R117" s="499"/>
      <c r="S117" s="499"/>
      <c r="T117" s="499"/>
      <c r="U117" s="499"/>
      <c r="V117" s="499"/>
      <c r="W117" s="499"/>
      <c r="X117" s="499"/>
      <c r="Y117" s="499"/>
      <c r="Z117" s="499"/>
      <c r="AA117" s="499"/>
      <c r="AB117" s="499"/>
      <c r="AC117" s="500"/>
    </row>
    <row r="118" spans="1:29" ht="40.799999999999997" x14ac:dyDescent="0.7">
      <c r="A118" s="170" t="s">
        <v>425</v>
      </c>
      <c r="B118" s="21">
        <f t="shared" ref="B118:AC118" si="46">B114*$B$235</f>
        <v>0</v>
      </c>
      <c r="C118" s="21">
        <f t="shared" si="46"/>
        <v>4067431.7374567427</v>
      </c>
      <c r="D118" s="21">
        <f t="shared" si="46"/>
        <v>4095341.7062669327</v>
      </c>
      <c r="E118" s="21">
        <f t="shared" si="46"/>
        <v>4123251.6750771226</v>
      </c>
      <c r="F118" s="21">
        <f t="shared" si="46"/>
        <v>4151162.0149614322</v>
      </c>
      <c r="G118" s="21">
        <f t="shared" si="46"/>
        <v>4179071.9837716226</v>
      </c>
      <c r="H118" s="21">
        <f t="shared" si="46"/>
        <v>4206981.9525818126</v>
      </c>
      <c r="I118" s="21">
        <f t="shared" si="46"/>
        <v>4234891.9213920031</v>
      </c>
      <c r="J118" s="21">
        <f t="shared" si="46"/>
        <v>4262801.8902021935</v>
      </c>
      <c r="K118" s="21">
        <f t="shared" si="46"/>
        <v>4290711.859012383</v>
      </c>
      <c r="L118" s="21">
        <f t="shared" si="46"/>
        <v>4318621.8278225735</v>
      </c>
      <c r="M118" s="21">
        <f t="shared" si="46"/>
        <v>4346531.7966327639</v>
      </c>
      <c r="N118" s="21">
        <f t="shared" si="46"/>
        <v>4374441.7654429534</v>
      </c>
      <c r="O118" s="21">
        <f t="shared" si="46"/>
        <v>4402351.7342531439</v>
      </c>
      <c r="P118" s="21">
        <f t="shared" si="46"/>
        <v>4430261.7030633343</v>
      </c>
      <c r="Q118" s="21">
        <f t="shared" si="46"/>
        <v>4458171.6718735248</v>
      </c>
      <c r="R118" s="21">
        <f t="shared" si="46"/>
        <v>4486081.6406837143</v>
      </c>
      <c r="S118" s="21">
        <f t="shared" si="46"/>
        <v>4513991.6094939047</v>
      </c>
      <c r="T118" s="21">
        <f t="shared" si="46"/>
        <v>4543088.2733376659</v>
      </c>
      <c r="U118" s="21">
        <f t="shared" si="46"/>
        <v>4572371.9585375618</v>
      </c>
      <c r="V118" s="21">
        <f t="shared" si="46"/>
        <v>4601844.891538308</v>
      </c>
      <c r="W118" s="21">
        <f t="shared" si="46"/>
        <v>4631507.8144881446</v>
      </c>
      <c r="X118" s="21">
        <f t="shared" si="46"/>
        <v>4661361.4695353089</v>
      </c>
      <c r="Y118" s="21">
        <f t="shared" si="46"/>
        <v>4691408.0831245175</v>
      </c>
      <c r="Z118" s="21">
        <f t="shared" si="46"/>
        <v>4721648.026329889</v>
      </c>
      <c r="AA118" s="21">
        <f t="shared" si="46"/>
        <v>4752083.1545220204</v>
      </c>
      <c r="AB118" s="21">
        <f t="shared" si="46"/>
        <v>4782714.2098491509</v>
      </c>
      <c r="AC118" s="21">
        <f t="shared" si="46"/>
        <v>4813542.6766077569</v>
      </c>
    </row>
    <row r="119" spans="1:29" x14ac:dyDescent="0.7">
      <c r="A119" s="170" t="s">
        <v>396</v>
      </c>
      <c r="B119" s="21">
        <f>B118*B113</f>
        <v>0</v>
      </c>
      <c r="C119" s="21">
        <f t="shared" ref="C119:O119" si="47">C118*C113</f>
        <v>5215.6331844453298</v>
      </c>
      <c r="D119" s="21">
        <f t="shared" si="47"/>
        <v>7200.5501090978514</v>
      </c>
      <c r="E119" s="21">
        <f t="shared" si="47"/>
        <v>9923.8095166548701</v>
      </c>
      <c r="F119" s="21">
        <f t="shared" si="47"/>
        <v>13567.965447782015</v>
      </c>
      <c r="G119" s="21">
        <f t="shared" si="47"/>
        <v>18291.051816267161</v>
      </c>
      <c r="H119" s="21">
        <f t="shared" si="47"/>
        <v>24164.764032540166</v>
      </c>
      <c r="I119" s="21">
        <f t="shared" si="47"/>
        <v>31112.34885844971</v>
      </c>
      <c r="J119" s="21">
        <f t="shared" si="47"/>
        <v>38863.289989194796</v>
      </c>
      <c r="K119" s="21">
        <f t="shared" si="47"/>
        <v>46973.298999772982</v>
      </c>
      <c r="L119" s="21">
        <f t="shared" si="47"/>
        <v>54923.930189091981</v>
      </c>
      <c r="M119" s="21">
        <f t="shared" si="47"/>
        <v>62244.425879179405</v>
      </c>
      <c r="N119" s="21">
        <f t="shared" si="47"/>
        <v>68624.738964378688</v>
      </c>
      <c r="O119" s="21">
        <f t="shared" si="47"/>
        <v>73941.368232590932</v>
      </c>
      <c r="P119" s="21">
        <f>(P118-B119)*P113</f>
        <v>78228.699156672796</v>
      </c>
      <c r="Q119" s="21">
        <f t="shared" ref="Q119:AC119" si="48">(Q118-C119)*Q113</f>
        <v>81518.002184657409</v>
      </c>
      <c r="R119" s="21">
        <f t="shared" si="48"/>
        <v>84124.054904758144</v>
      </c>
      <c r="S119" s="21">
        <f t="shared" si="48"/>
        <v>86144.142562937282</v>
      </c>
      <c r="T119" s="21">
        <f t="shared" si="48"/>
        <v>87735.50943241101</v>
      </c>
      <c r="U119" s="21">
        <f t="shared" si="48"/>
        <v>88993.233078452293</v>
      </c>
      <c r="V119" s="21">
        <f t="shared" si="48"/>
        <v>90003.720955474069</v>
      </c>
      <c r="W119" s="21">
        <f t="shared" si="48"/>
        <v>90833.527258721151</v>
      </c>
      <c r="X119" s="21">
        <f t="shared" si="48"/>
        <v>91534.979321290666</v>
      </c>
      <c r="Y119" s="21">
        <f t="shared" si="48"/>
        <v>92579.969327305414</v>
      </c>
      <c r="Z119" s="21">
        <f t="shared" si="48"/>
        <v>93015.934836056447</v>
      </c>
      <c r="AA119" s="21">
        <f t="shared" si="48"/>
        <v>93469.060413994463</v>
      </c>
      <c r="AB119" s="21">
        <f t="shared" si="48"/>
        <v>93945.358334454286</v>
      </c>
      <c r="AC119" s="21">
        <f t="shared" si="48"/>
        <v>94445.849907129232</v>
      </c>
    </row>
    <row r="120" spans="1:29" x14ac:dyDescent="0.7">
      <c r="A120" s="170" t="s">
        <v>373</v>
      </c>
      <c r="B120" s="21">
        <f>B119*$B$233/'Emission Factors and Constants'!$A$7</f>
        <v>0</v>
      </c>
      <c r="C120" s="21">
        <f>C119*$B$233/'Emission Factors and Constants'!$A$7</f>
        <v>11.474393005779726</v>
      </c>
      <c r="D120" s="21">
        <f>D119*$B$233/'Emission Factors and Constants'!$A$7</f>
        <v>15.841210240015274</v>
      </c>
      <c r="E120" s="21">
        <f>E119*$B$233/'Emission Factors and Constants'!$A$7</f>
        <v>21.832380936640714</v>
      </c>
      <c r="F120" s="21">
        <f>F119*$B$233/'Emission Factors and Constants'!$A$7</f>
        <v>29.849523985120435</v>
      </c>
      <c r="G120" s="21">
        <f>G119*$B$233/'Emission Factors and Constants'!$A$7</f>
        <v>40.240313995787758</v>
      </c>
      <c r="H120" s="21">
        <f>H119*$B$233/'Emission Factors and Constants'!$A$7</f>
        <v>53.162480871588372</v>
      </c>
      <c r="I120" s="21">
        <f>I119*$B$233/'Emission Factors and Constants'!$A$7</f>
        <v>68.447167488589372</v>
      </c>
      <c r="J120" s="21">
        <f>J119*$B$233/'Emission Factors and Constants'!$A$7</f>
        <v>85.499237976228557</v>
      </c>
      <c r="K120" s="21">
        <f>K119*$B$233/'Emission Factors and Constants'!$A$7</f>
        <v>103.34125779950057</v>
      </c>
      <c r="L120" s="21">
        <f>L119*$B$233/'Emission Factors and Constants'!$A$7</f>
        <v>120.83264641600238</v>
      </c>
      <c r="M120" s="21">
        <f>M119*$B$233/'Emission Factors and Constants'!$A$7</f>
        <v>136.9377369341947</v>
      </c>
      <c r="N120" s="21">
        <f>N119*$B$233/'Emission Factors and Constants'!$A$7</f>
        <v>150.97442572163314</v>
      </c>
      <c r="O120" s="21">
        <f>O119*$B$233/'Emission Factors and Constants'!$A$7</f>
        <v>162.67101011170007</v>
      </c>
      <c r="P120" s="21">
        <f>P119*$B$233/'Emission Factors and Constants'!$A$7</f>
        <v>172.10313814468014</v>
      </c>
      <c r="Q120" s="21">
        <f>Q119*$B$233/'Emission Factors and Constants'!$A$7</f>
        <v>179.33960480624631</v>
      </c>
      <c r="R120" s="21">
        <f>R119*$B$233/'Emission Factors and Constants'!$A$7</f>
        <v>185.07292079046795</v>
      </c>
      <c r="S120" s="21">
        <f>S119*$B$233/'Emission Factors and Constants'!$A$7</f>
        <v>189.51711363846204</v>
      </c>
      <c r="T120" s="21">
        <f>T119*$B$233/'Emission Factors and Constants'!$A$7</f>
        <v>193.01812075130422</v>
      </c>
      <c r="U120" s="21">
        <f>U119*$B$233/'Emission Factors and Constants'!$A$7</f>
        <v>195.78511277259506</v>
      </c>
      <c r="V120" s="21">
        <f>V119*$B$233/'Emission Factors and Constants'!$A$7</f>
        <v>198.00818610204297</v>
      </c>
      <c r="W120" s="21">
        <f>W119*$B$233/'Emission Factors and Constants'!$A$7</f>
        <v>199.83375996918656</v>
      </c>
      <c r="X120" s="21">
        <f>X119*$B$233/'Emission Factors and Constants'!$A$7</f>
        <v>201.37695450683947</v>
      </c>
      <c r="Y120" s="21">
        <f>Y119*$B$233/'Emission Factors and Constants'!$A$7</f>
        <v>203.67593252007191</v>
      </c>
      <c r="Z120" s="21">
        <f>Z119*$B$233/'Emission Factors and Constants'!$A$7</f>
        <v>204.6350566393242</v>
      </c>
      <c r="AA120" s="21">
        <f>AA119*$B$233/'Emission Factors and Constants'!$A$7</f>
        <v>205.63193291078784</v>
      </c>
      <c r="AB120" s="21">
        <f>AB119*$B$233/'Emission Factors and Constants'!$A$7</f>
        <v>206.67978833579943</v>
      </c>
      <c r="AC120" s="21">
        <f>AC119*$B$233/'Emission Factors and Constants'!$A$7</f>
        <v>207.78086979568431</v>
      </c>
    </row>
    <row r="121" spans="1:29" x14ac:dyDescent="0.7">
      <c r="A121" s="170" t="s">
        <v>379</v>
      </c>
      <c r="B121" s="21">
        <f>B120*($B$203/'Forecast Parameters'!G208)</f>
        <v>0</v>
      </c>
      <c r="C121" s="21">
        <f>C120*($B$203/'Forecast Parameters'!H208)</f>
        <v>4.3471962520181258</v>
      </c>
      <c r="D121" s="21">
        <f>D120*($B$203/'Forecast Parameters'!I208)</f>
        <v>5.9535986740346774</v>
      </c>
      <c r="E121" s="21">
        <f>E120*($B$203/'Forecast Parameters'!J208)</f>
        <v>8.1401379784030237</v>
      </c>
      <c r="F121" s="21">
        <f>F120*($B$203/'Forecast Parameters'!K208)</f>
        <v>11.041673472800456</v>
      </c>
      <c r="G121" s="21">
        <f>G120*($B$203/'Forecast Parameters'!L208)</f>
        <v>14.769051413347634</v>
      </c>
      <c r="H121" s="21">
        <f>H120*($B$203/'Forecast Parameters'!M208)</f>
        <v>19.36050763062298</v>
      </c>
      <c r="I121" s="21">
        <f>I120*($B$203/'Forecast Parameters'!N208)</f>
        <v>24.735081148085982</v>
      </c>
      <c r="J121" s="21">
        <f>J120*($B$203/'Forecast Parameters'!O208)</f>
        <v>30.802492731287145</v>
      </c>
      <c r="K121" s="21">
        <f>K120*($B$203/'Forecast Parameters'!P208)</f>
        <v>37.116516562772027</v>
      </c>
      <c r="L121" s="21">
        <f>L120*($B$203/'Forecast Parameters'!Q208)</f>
        <v>43.266489894676518</v>
      </c>
      <c r="M121" s="21">
        <f>M120*($B$203/'Forecast Parameters'!R208)</f>
        <v>48.884195038269084</v>
      </c>
      <c r="N121" s="21">
        <f>N120*($B$203/'Forecast Parameters'!S208)</f>
        <v>53.731710508279498</v>
      </c>
      <c r="O121" s="21">
        <f>O120*($B$203/'Forecast Parameters'!T208)</f>
        <v>57.719610195833681</v>
      </c>
      <c r="P121" s="21">
        <f>P120*($B$203/'Forecast Parameters'!U208)</f>
        <v>60.882422619753548</v>
      </c>
      <c r="Q121" s="21">
        <f>Q120*($B$203/'Forecast Parameters'!V208)</f>
        <v>63.25184451667495</v>
      </c>
      <c r="R121" s="21">
        <f>R120*($B$203/'Forecast Parameters'!W208)</f>
        <v>65.078514636474893</v>
      </c>
      <c r="S121" s="21">
        <f>S120*($B$203/'Forecast Parameters'!X208)</f>
        <v>66.442328820851714</v>
      </c>
      <c r="T121" s="21">
        <f>T120*($B$203/'Forecast Parameters'!Y208)</f>
        <v>67.508523725317716</v>
      </c>
      <c r="U121" s="21">
        <f>U120*($B$203/'Forecast Parameters'!Z208)</f>
        <v>68.31353728174895</v>
      </c>
      <c r="V121" s="21">
        <f>V120*($B$203/'Forecast Parameters'!AA208)</f>
        <v>68.925398686026895</v>
      </c>
      <c r="W121" s="21">
        <f>W120*($B$203/'Forecast Parameters'!AB208)</f>
        <v>69.396325668426698</v>
      </c>
      <c r="X121" s="21">
        <f>X120*($B$203/'Forecast Parameters'!AC208)</f>
        <v>69.76719945256724</v>
      </c>
      <c r="Y121" s="21">
        <f>Y120*($B$203/'Forecast Parameters'!AD208)</f>
        <v>70.397552221632068</v>
      </c>
      <c r="Z121" s="21">
        <f>Z120*($B$203/'Forecast Parameters'!AE208)</f>
        <v>70.562931038409673</v>
      </c>
      <c r="AA121" s="21">
        <f>AA120*($B$203/'Forecast Parameters'!AF208)</f>
        <v>70.740522109682871</v>
      </c>
      <c r="AB121" s="21">
        <f>AB120*($B$203/'Forecast Parameters'!AG208)</f>
        <v>70.934779438030105</v>
      </c>
      <c r="AC121" s="21">
        <f>AC120*($B$203/'Forecast Parameters'!AH208)</f>
        <v>71.146355764045538</v>
      </c>
    </row>
    <row r="122" spans="1:29" x14ac:dyDescent="0.7">
      <c r="A122" s="501" t="s">
        <v>38</v>
      </c>
      <c r="B122" s="502"/>
      <c r="C122" s="502"/>
      <c r="D122" s="502"/>
      <c r="E122" s="502"/>
      <c r="F122" s="502"/>
      <c r="G122" s="502"/>
      <c r="H122" s="502"/>
      <c r="I122" s="502"/>
      <c r="J122" s="502"/>
      <c r="K122" s="502"/>
      <c r="L122" s="502"/>
      <c r="M122" s="502"/>
      <c r="N122" s="502"/>
      <c r="O122" s="502"/>
      <c r="P122" s="502"/>
      <c r="Q122" s="502"/>
      <c r="R122" s="502"/>
      <c r="S122" s="502"/>
      <c r="T122" s="502"/>
      <c r="U122" s="502"/>
      <c r="V122" s="502"/>
      <c r="W122" s="502"/>
      <c r="X122" s="502"/>
      <c r="Y122" s="502"/>
      <c r="Z122" s="502"/>
      <c r="AA122" s="502"/>
      <c r="AB122" s="502"/>
      <c r="AC122" s="503"/>
    </row>
    <row r="123" spans="1:29" ht="40.799999999999997" x14ac:dyDescent="0.7">
      <c r="A123" s="170" t="s">
        <v>426</v>
      </c>
      <c r="B123" s="21">
        <f t="shared" ref="B123:AC123" si="49">B114*$B$234</f>
        <v>0</v>
      </c>
      <c r="C123" s="21">
        <f t="shared" si="49"/>
        <v>6893806.2625432573</v>
      </c>
      <c r="D123" s="21">
        <f t="shared" si="49"/>
        <v>6941110.2937330669</v>
      </c>
      <c r="E123" s="21">
        <f t="shared" si="49"/>
        <v>6988414.3249228774</v>
      </c>
      <c r="F123" s="21">
        <f t="shared" si="49"/>
        <v>7035718.9850385673</v>
      </c>
      <c r="G123" s="21">
        <f t="shared" si="49"/>
        <v>7083023.0162283778</v>
      </c>
      <c r="H123" s="21">
        <f t="shared" si="49"/>
        <v>7130327.0474181874</v>
      </c>
      <c r="I123" s="21">
        <f t="shared" si="49"/>
        <v>7177631.0786079969</v>
      </c>
      <c r="J123" s="21">
        <f t="shared" si="49"/>
        <v>7224935.1097978065</v>
      </c>
      <c r="K123" s="21">
        <f t="shared" si="49"/>
        <v>7272239.140987617</v>
      </c>
      <c r="L123" s="21">
        <f t="shared" si="49"/>
        <v>7319543.1721774265</v>
      </c>
      <c r="M123" s="21">
        <f t="shared" si="49"/>
        <v>7366847.2033672361</v>
      </c>
      <c r="N123" s="21">
        <f t="shared" si="49"/>
        <v>7414151.2345570466</v>
      </c>
      <c r="O123" s="21">
        <f t="shared" si="49"/>
        <v>7461455.2657468561</v>
      </c>
      <c r="P123" s="21">
        <f t="shared" si="49"/>
        <v>7508759.2969366657</v>
      </c>
      <c r="Q123" s="21">
        <f t="shared" si="49"/>
        <v>7556063.3281264752</v>
      </c>
      <c r="R123" s="21">
        <f t="shared" si="49"/>
        <v>7603367.3593162857</v>
      </c>
      <c r="S123" s="21">
        <f t="shared" si="49"/>
        <v>7650671.3905060953</v>
      </c>
      <c r="T123" s="21">
        <f t="shared" si="49"/>
        <v>7699986.7266623341</v>
      </c>
      <c r="U123" s="21">
        <f t="shared" si="49"/>
        <v>7749619.0414624382</v>
      </c>
      <c r="V123" s="21">
        <f t="shared" si="49"/>
        <v>7799572.108461692</v>
      </c>
      <c r="W123" s="21">
        <f t="shared" si="49"/>
        <v>7849847.1855118554</v>
      </c>
      <c r="X123" s="21">
        <f t="shared" si="49"/>
        <v>7900445.5304646911</v>
      </c>
      <c r="Y123" s="21">
        <f t="shared" si="49"/>
        <v>7951370.9168754825</v>
      </c>
      <c r="Z123" s="21">
        <f t="shared" si="49"/>
        <v>8002623.973670111</v>
      </c>
      <c r="AA123" s="21">
        <f t="shared" si="49"/>
        <v>8054207.8454779796</v>
      </c>
      <c r="AB123" s="21">
        <f t="shared" si="49"/>
        <v>8106123.7901508491</v>
      </c>
      <c r="AC123" s="21">
        <f t="shared" si="49"/>
        <v>8158374.3233922431</v>
      </c>
    </row>
    <row r="124" spans="1:29" x14ac:dyDescent="0.7">
      <c r="A124" s="170" t="s">
        <v>398</v>
      </c>
      <c r="B124" s="21">
        <f>B123*B113</f>
        <v>0</v>
      </c>
      <c r="C124" s="21">
        <f t="shared" ref="C124:O124" si="50">C123*C113</f>
        <v>8839.8692420440493</v>
      </c>
      <c r="D124" s="21">
        <f t="shared" si="50"/>
        <v>12204.064048261909</v>
      </c>
      <c r="E124" s="21">
        <f t="shared" si="50"/>
        <v>16819.660318867071</v>
      </c>
      <c r="F124" s="21">
        <f t="shared" si="50"/>
        <v>22996.065136762467</v>
      </c>
      <c r="G124" s="21">
        <f t="shared" si="50"/>
        <v>31001.126926921614</v>
      </c>
      <c r="H124" s="21">
        <f t="shared" si="50"/>
        <v>40956.360763553472</v>
      </c>
      <c r="I124" s="21">
        <f t="shared" si="50"/>
        <v>52731.679164435445</v>
      </c>
      <c r="J124" s="21">
        <f t="shared" si="50"/>
        <v>65868.589617208054</v>
      </c>
      <c r="K124" s="21">
        <f t="shared" si="50"/>
        <v>79614.076822695744</v>
      </c>
      <c r="L124" s="21">
        <f t="shared" si="50"/>
        <v>93089.437842121319</v>
      </c>
      <c r="M124" s="21">
        <f t="shared" si="50"/>
        <v>105496.79518471823</v>
      </c>
      <c r="N124" s="21">
        <f t="shared" si="50"/>
        <v>116310.65639809314</v>
      </c>
      <c r="O124" s="21">
        <f t="shared" si="50"/>
        <v>125321.70182198998</v>
      </c>
      <c r="P124" s="21">
        <f>(P123-B124)*P113</f>
        <v>132588.21068601124</v>
      </c>
      <c r="Q124" s="21">
        <f t="shared" ref="Q124:AC124" si="51">(Q123-C124)*Q113</f>
        <v>138163.18262835572</v>
      </c>
      <c r="R124" s="21">
        <f t="shared" si="51"/>
        <v>142580.12769885414</v>
      </c>
      <c r="S124" s="21">
        <f t="shared" si="51"/>
        <v>146003.93265680762</v>
      </c>
      <c r="T124" s="21">
        <f t="shared" si="51"/>
        <v>148701.1075816513</v>
      </c>
      <c r="U124" s="21">
        <f t="shared" si="51"/>
        <v>150832.79748016442</v>
      </c>
      <c r="V124" s="21">
        <f t="shared" si="51"/>
        <v>152545.45256683405</v>
      </c>
      <c r="W124" s="21">
        <f t="shared" si="51"/>
        <v>153951.87417616128</v>
      </c>
      <c r="X124" s="21">
        <f t="shared" si="51"/>
        <v>155140.75082706712</v>
      </c>
      <c r="Y124" s="21">
        <f t="shared" si="51"/>
        <v>156911.88286142156</v>
      </c>
      <c r="Z124" s="21">
        <f t="shared" si="51"/>
        <v>157650.79182129508</v>
      </c>
      <c r="AA124" s="21">
        <f t="shared" si="51"/>
        <v>158418.78502893547</v>
      </c>
      <c r="AB124" s="21">
        <f t="shared" si="51"/>
        <v>159226.05256256476</v>
      </c>
      <c r="AC124" s="21">
        <f t="shared" si="51"/>
        <v>160074.32541894316</v>
      </c>
    </row>
    <row r="125" spans="1:29" x14ac:dyDescent="0.7">
      <c r="A125" s="170" t="s">
        <v>376</v>
      </c>
      <c r="B125" s="21">
        <f>B124*$B$232/'Emission Factors and Constants'!$A$7</f>
        <v>0</v>
      </c>
      <c r="C125" s="21">
        <f>C124*$B$232/'Emission Factors and Constants'!$A$7</f>
        <v>52.155228528059894</v>
      </c>
      <c r="D125" s="21">
        <f>D124*$B$232/'Emission Factors and Constants'!$A$7</f>
        <v>72.003977884745268</v>
      </c>
      <c r="E125" s="21">
        <f>E124*$B$232/'Emission Factors and Constants'!$A$7</f>
        <v>99.235995881315731</v>
      </c>
      <c r="F125" s="21">
        <f>F124*$B$232/'Emission Factors and Constants'!$A$7</f>
        <v>135.67678430689855</v>
      </c>
      <c r="G125" s="21">
        <f>G124*$B$232/'Emission Factors and Constants'!$A$7</f>
        <v>182.90664886883755</v>
      </c>
      <c r="H125" s="21">
        <f>H124*$B$232/'Emission Factors and Constants'!$A$7</f>
        <v>241.6425285049655</v>
      </c>
      <c r="I125" s="21">
        <f>I124*$B$232/'Emission Factors and Constants'!$A$7</f>
        <v>311.11690707016919</v>
      </c>
      <c r="J125" s="21">
        <f>J124*$B$232/'Emission Factors and Constants'!$A$7</f>
        <v>388.62467874152753</v>
      </c>
      <c r="K125" s="21">
        <f>K124*$B$232/'Emission Factors and Constants'!$A$7</f>
        <v>469.72305325390494</v>
      </c>
      <c r="L125" s="21">
        <f>L124*$B$232/'Emission Factors and Constants'!$A$7</f>
        <v>549.22768326851588</v>
      </c>
      <c r="M125" s="21">
        <f>M124*$B$232/'Emission Factors and Constants'!$A$7</f>
        <v>622.43109158983759</v>
      </c>
      <c r="N125" s="21">
        <f>N124*$B$232/'Emission Factors and Constants'!$A$7</f>
        <v>686.23287274874951</v>
      </c>
      <c r="O125" s="21">
        <f>O124*$B$232/'Emission Factors and Constants'!$A$7</f>
        <v>739.39804074974086</v>
      </c>
      <c r="P125" s="21">
        <f>P124*$B$232/'Emission Factors and Constants'!$A$7</f>
        <v>782.2704430474663</v>
      </c>
      <c r="Q125" s="21">
        <f>Q124*$B$232/'Emission Factors and Constants'!$A$7</f>
        <v>815.16277750729876</v>
      </c>
      <c r="R125" s="21">
        <f>R124*$B$232/'Emission Factors and Constants'!$A$7</f>
        <v>841.22275342323951</v>
      </c>
      <c r="S125" s="21">
        <f>S124*$B$232/'Emission Factors and Constants'!$A$7</f>
        <v>861.42320267516504</v>
      </c>
      <c r="T125" s="21">
        <f>T124*$B$232/'Emission Factors and Constants'!$A$7</f>
        <v>877.33653473174274</v>
      </c>
      <c r="U125" s="21">
        <f>U124*$B$232/'Emission Factors and Constants'!$A$7</f>
        <v>889.91350513297004</v>
      </c>
      <c r="V125" s="21">
        <f>V124*$B$232/'Emission Factors and Constants'!$A$7</f>
        <v>900.01817014432095</v>
      </c>
      <c r="W125" s="21">
        <f>W124*$B$232/'Emission Factors and Constants'!$A$7</f>
        <v>908.31605763935158</v>
      </c>
      <c r="X125" s="21">
        <f>X124*$B$232/'Emission Factors and Constants'!$A$7</f>
        <v>915.33042987969611</v>
      </c>
      <c r="Y125" s="21">
        <f>Y124*$B$232/'Emission Factors and Constants'!$A$7</f>
        <v>925.78010888238725</v>
      </c>
      <c r="Z125" s="21">
        <f>Z124*$B$232/'Emission Factors and Constants'!$A$7</f>
        <v>930.13967174564107</v>
      </c>
      <c r="AA125" s="21">
        <f>AA124*$B$232/'Emission Factors and Constants'!$A$7</f>
        <v>934.67083167071928</v>
      </c>
      <c r="AB125" s="21">
        <f>AB124*$B$232/'Emission Factors and Constants'!$A$7</f>
        <v>939.43371011913212</v>
      </c>
      <c r="AC125" s="21">
        <f>AC124*$B$232/'Emission Factors and Constants'!$A$7</f>
        <v>944.43851997176478</v>
      </c>
    </row>
    <row r="126" spans="1:29" x14ac:dyDescent="0.7">
      <c r="A126" s="170" t="s">
        <v>377</v>
      </c>
      <c r="B126" s="21">
        <f>B125*($B$202/'Forecast Parameters'!G208)</f>
        <v>0</v>
      </c>
      <c r="C126" s="21">
        <f>C125*($B$202/'Forecast Parameters'!H208)</f>
        <v>12.671894920338506</v>
      </c>
      <c r="D126" s="21">
        <f>D125*($B$202/'Forecast Parameters'!I208)</f>
        <v>17.354490669753073</v>
      </c>
      <c r="E126" s="21">
        <f>E125*($B$202/'Forecast Parameters'!J208)</f>
        <v>23.728161122584105</v>
      </c>
      <c r="F126" s="21">
        <f>F125*($B$202/'Forecast Parameters'!K208)</f>
        <v>32.186015509895853</v>
      </c>
      <c r="G126" s="21">
        <f>G125*($B$202/'Forecast Parameters'!L208)</f>
        <v>43.051166023649259</v>
      </c>
      <c r="H126" s="21">
        <f>H125*($B$202/'Forecast Parameters'!M208)</f>
        <v>56.435068507839539</v>
      </c>
      <c r="I126" s="21">
        <f>I125*($B$202/'Forecast Parameters'!N208)</f>
        <v>72.10172510824215</v>
      </c>
      <c r="J126" s="21">
        <f>J125*($B$202/'Forecast Parameters'!O208)</f>
        <v>89.787975639277349</v>
      </c>
      <c r="K126" s="21">
        <f>K125*($B$202/'Forecast Parameters'!P208)</f>
        <v>108.19309054062226</v>
      </c>
      <c r="L126" s="21">
        <f>L125*($B$202/'Forecast Parameters'!Q208)</f>
        <v>126.12000510966179</v>
      </c>
      <c r="M126" s="21">
        <f>M125*($B$202/'Forecast Parameters'!R208)</f>
        <v>142.49538021263825</v>
      </c>
      <c r="N126" s="21">
        <f>N125*($B$202/'Forecast Parameters'!S208)</f>
        <v>156.62568468926975</v>
      </c>
      <c r="O126" s="21">
        <f>O125*($B$202/'Forecast Parameters'!T208)</f>
        <v>168.25024517928151</v>
      </c>
      <c r="P126" s="21">
        <f>P125*($B$202/'Forecast Parameters'!U208)</f>
        <v>177.46971086824087</v>
      </c>
      <c r="Q126" s="21">
        <f>Q125*($B$202/'Forecast Parameters'!V208)</f>
        <v>184.3764764152985</v>
      </c>
      <c r="R126" s="21">
        <f>R125*($B$202/'Forecast Parameters'!W208)</f>
        <v>189.70114327419208</v>
      </c>
      <c r="S126" s="21">
        <f>S125*($B$202/'Forecast Parameters'!X208)</f>
        <v>193.67660447571188</v>
      </c>
      <c r="T126" s="21">
        <f>T125*($B$202/'Forecast Parameters'!Y208)</f>
        <v>196.78451794700297</v>
      </c>
      <c r="U126" s="21">
        <f>U125*($B$202/'Forecast Parameters'!Z208)</f>
        <v>199.13109873267805</v>
      </c>
      <c r="V126" s="21">
        <f>V125*($B$202/'Forecast Parameters'!AA208)</f>
        <v>200.9146490882024</v>
      </c>
      <c r="W126" s="21">
        <f>W125*($B$202/'Forecast Parameters'!AB208)</f>
        <v>202.28738150932372</v>
      </c>
      <c r="X126" s="21">
        <f>X125*($B$202/'Forecast Parameters'!AC208)</f>
        <v>203.36846304990422</v>
      </c>
      <c r="Y126" s="21">
        <f>Y125*($B$202/'Forecast Parameters'!AD208)</f>
        <v>205.20591495896531</v>
      </c>
      <c r="Z126" s="21">
        <f>Z125*($B$202/'Forecast Parameters'!AE208)</f>
        <v>205.687987280242</v>
      </c>
      <c r="AA126" s="21">
        <f>AA125*($B$202/'Forecast Parameters'!AF208)</f>
        <v>206.20565781166081</v>
      </c>
      <c r="AB126" s="21">
        <f>AB125*($B$202/'Forecast Parameters'!AG208)</f>
        <v>206.77190978410837</v>
      </c>
      <c r="AC126" s="21">
        <f>AC125*($B$202/'Forecast Parameters'!AH208)</f>
        <v>207.38864590906573</v>
      </c>
    </row>
    <row r="127" spans="1:29" x14ac:dyDescent="0.7">
      <c r="A127" s="501" t="s">
        <v>386</v>
      </c>
      <c r="B127" s="502"/>
      <c r="C127" s="502"/>
      <c r="D127" s="502"/>
      <c r="E127" s="502"/>
      <c r="F127" s="502"/>
      <c r="G127" s="502"/>
      <c r="H127" s="502"/>
      <c r="I127" s="502"/>
      <c r="J127" s="502"/>
      <c r="K127" s="502"/>
      <c r="L127" s="502"/>
      <c r="M127" s="502"/>
      <c r="N127" s="502"/>
      <c r="O127" s="502"/>
      <c r="P127" s="502"/>
      <c r="Q127" s="502"/>
      <c r="R127" s="502"/>
      <c r="S127" s="502"/>
      <c r="T127" s="502"/>
      <c r="U127" s="502"/>
      <c r="V127" s="502"/>
      <c r="W127" s="502"/>
      <c r="X127" s="502"/>
      <c r="Y127" s="502"/>
      <c r="Z127" s="502"/>
      <c r="AA127" s="502"/>
      <c r="AB127" s="502"/>
      <c r="AC127" s="503"/>
    </row>
    <row r="128" spans="1:29" x14ac:dyDescent="0.7">
      <c r="A128" s="170" t="s">
        <v>388</v>
      </c>
      <c r="B128" s="21">
        <f>(B120-B121)+B126</f>
        <v>0</v>
      </c>
      <c r="C128" s="21">
        <f t="shared" ref="C128:AC128" si="52">(C120-C121)+C126</f>
        <v>19.799091674100104</v>
      </c>
      <c r="D128" s="21">
        <f>(D120-D121)+D126</f>
        <v>27.242102235733668</v>
      </c>
      <c r="E128" s="21">
        <f t="shared" si="52"/>
        <v>37.420404080821797</v>
      </c>
      <c r="F128" s="21">
        <f t="shared" si="52"/>
        <v>50.993866022215833</v>
      </c>
      <c r="G128" s="21">
        <f t="shared" si="52"/>
        <v>68.522428606089392</v>
      </c>
      <c r="H128" s="21">
        <f t="shared" si="52"/>
        <v>90.237041748804927</v>
      </c>
      <c r="I128" s="21">
        <f t="shared" si="52"/>
        <v>115.81381144874554</v>
      </c>
      <c r="J128" s="21">
        <f t="shared" si="52"/>
        <v>144.48472088421875</v>
      </c>
      <c r="K128" s="21">
        <f t="shared" si="52"/>
        <v>174.41783177735078</v>
      </c>
      <c r="L128" s="21">
        <f t="shared" si="52"/>
        <v>203.68616163098767</v>
      </c>
      <c r="M128" s="21">
        <f t="shared" si="52"/>
        <v>230.54892210856389</v>
      </c>
      <c r="N128" s="21">
        <f t="shared" si="52"/>
        <v>253.86839990262339</v>
      </c>
      <c r="O128" s="21">
        <f t="shared" si="52"/>
        <v>273.20164509514791</v>
      </c>
      <c r="P128" s="21">
        <f t="shared" si="52"/>
        <v>288.69042639316746</v>
      </c>
      <c r="Q128" s="21">
        <f t="shared" si="52"/>
        <v>300.46423670486985</v>
      </c>
      <c r="R128" s="21">
        <f t="shared" si="52"/>
        <v>309.69554942818513</v>
      </c>
      <c r="S128" s="21">
        <f t="shared" si="52"/>
        <v>316.75138929332218</v>
      </c>
      <c r="T128" s="21">
        <f t="shared" si="52"/>
        <v>322.29411497298946</v>
      </c>
      <c r="U128" s="21">
        <f t="shared" si="52"/>
        <v>326.60267422352416</v>
      </c>
      <c r="V128" s="21">
        <f t="shared" si="52"/>
        <v>329.99743650421846</v>
      </c>
      <c r="W128" s="21">
        <f t="shared" si="52"/>
        <v>332.72481581008356</v>
      </c>
      <c r="X128" s="21">
        <f t="shared" si="52"/>
        <v>334.97821810417645</v>
      </c>
      <c r="Y128" s="21">
        <f t="shared" si="52"/>
        <v>338.48429525740517</v>
      </c>
      <c r="Z128" s="21">
        <f t="shared" si="52"/>
        <v>339.76011288115654</v>
      </c>
      <c r="AA128" s="21">
        <f t="shared" si="52"/>
        <v>341.09706861276578</v>
      </c>
      <c r="AB128" s="21">
        <f t="shared" si="52"/>
        <v>342.51691868187766</v>
      </c>
      <c r="AC128" s="21">
        <f t="shared" si="52"/>
        <v>344.02315994070455</v>
      </c>
    </row>
    <row r="129" spans="1:33" x14ac:dyDescent="0.7">
      <c r="A129" s="170" t="s">
        <v>387</v>
      </c>
      <c r="B129" s="21">
        <f>-B125</f>
        <v>0</v>
      </c>
      <c r="C129" s="21">
        <f t="shared" ref="C129:AC129" si="53">-C125+B129</f>
        <v>-52.155228528059894</v>
      </c>
      <c r="D129" s="21">
        <f t="shared" si="53"/>
        <v>-124.15920641280516</v>
      </c>
      <c r="E129" s="21">
        <f t="shared" si="53"/>
        <v>-223.39520229412091</v>
      </c>
      <c r="F129" s="21">
        <f t="shared" si="53"/>
        <v>-359.07198660101949</v>
      </c>
      <c r="G129" s="21">
        <f t="shared" si="53"/>
        <v>-541.97863546985707</v>
      </c>
      <c r="H129" s="21">
        <f t="shared" si="53"/>
        <v>-783.62116397482259</v>
      </c>
      <c r="I129" s="21">
        <f t="shared" si="53"/>
        <v>-1094.7380710449918</v>
      </c>
      <c r="J129" s="21">
        <f t="shared" si="53"/>
        <v>-1483.3627497865193</v>
      </c>
      <c r="K129" s="21">
        <f t="shared" si="53"/>
        <v>-1953.0858030404243</v>
      </c>
      <c r="L129" s="21">
        <f t="shared" si="53"/>
        <v>-2502.3134863089399</v>
      </c>
      <c r="M129" s="21">
        <f t="shared" si="53"/>
        <v>-3124.7445778987776</v>
      </c>
      <c r="N129" s="21">
        <f t="shared" si="53"/>
        <v>-3810.9774506475269</v>
      </c>
      <c r="O129" s="21">
        <f t="shared" si="53"/>
        <v>-4550.375491397268</v>
      </c>
      <c r="P129" s="21">
        <f t="shared" si="53"/>
        <v>-5332.6459344447339</v>
      </c>
      <c r="Q129" s="21">
        <f t="shared" si="53"/>
        <v>-6147.8087119520324</v>
      </c>
      <c r="R129" s="21">
        <f t="shared" si="53"/>
        <v>-6989.0314653752721</v>
      </c>
      <c r="S129" s="21">
        <f t="shared" si="53"/>
        <v>-7850.4546680504372</v>
      </c>
      <c r="T129" s="21">
        <f t="shared" si="53"/>
        <v>-8727.7912027821803</v>
      </c>
      <c r="U129" s="21">
        <f t="shared" si="53"/>
        <v>-9617.7047079151507</v>
      </c>
      <c r="V129" s="21">
        <f t="shared" si="53"/>
        <v>-10517.722878059472</v>
      </c>
      <c r="W129" s="21">
        <f t="shared" si="53"/>
        <v>-11426.038935698823</v>
      </c>
      <c r="X129" s="21">
        <f t="shared" si="53"/>
        <v>-12341.369365578519</v>
      </c>
      <c r="Y129" s="21">
        <f t="shared" si="53"/>
        <v>-13267.149474460906</v>
      </c>
      <c r="Z129" s="21">
        <f t="shared" si="53"/>
        <v>-14197.289146206547</v>
      </c>
      <c r="AA129" s="21">
        <f t="shared" si="53"/>
        <v>-15131.959977877266</v>
      </c>
      <c r="AB129" s="21">
        <f t="shared" si="53"/>
        <v>-16071.393687996399</v>
      </c>
      <c r="AC129" s="21">
        <f t="shared" si="53"/>
        <v>-17015.832207968164</v>
      </c>
    </row>
    <row r="130" spans="1:33" x14ac:dyDescent="0.7">
      <c r="C130" s="264"/>
      <c r="D130" s="264"/>
      <c r="E130" s="264"/>
      <c r="F130" s="264"/>
      <c r="G130" s="264"/>
      <c r="H130" s="264"/>
      <c r="I130" s="264"/>
      <c r="J130" s="264"/>
      <c r="K130" s="264"/>
      <c r="L130" s="264"/>
      <c r="M130" s="264"/>
      <c r="N130" s="264"/>
      <c r="O130" s="264"/>
      <c r="P130" s="264"/>
      <c r="Q130" s="264"/>
      <c r="R130" s="264"/>
      <c r="S130" s="264"/>
      <c r="T130" s="264"/>
      <c r="U130" s="264"/>
      <c r="V130" s="264"/>
      <c r="W130" s="264"/>
      <c r="X130" s="264"/>
      <c r="Y130" s="264"/>
      <c r="Z130" s="264"/>
      <c r="AA130" s="264"/>
      <c r="AB130" s="264"/>
      <c r="AC130" s="264"/>
    </row>
    <row r="131" spans="1:33" ht="26.4" x14ac:dyDescent="0.9">
      <c r="A131" s="493" t="s">
        <v>550</v>
      </c>
      <c r="B131" s="493"/>
      <c r="C131" s="493"/>
      <c r="D131" s="493"/>
      <c r="E131" s="493"/>
      <c r="F131" s="493"/>
      <c r="G131" s="493"/>
      <c r="H131" s="493"/>
      <c r="I131" s="493"/>
      <c r="J131" s="493"/>
      <c r="K131" s="493"/>
      <c r="L131" s="493"/>
      <c r="M131" s="493"/>
      <c r="N131" s="493"/>
      <c r="O131" s="493"/>
      <c r="P131" s="493"/>
      <c r="Q131" s="493"/>
      <c r="R131" s="493"/>
      <c r="S131" s="493"/>
      <c r="T131" s="493"/>
      <c r="U131" s="493"/>
      <c r="V131" s="493"/>
      <c r="W131" s="493"/>
      <c r="X131" s="493"/>
      <c r="Y131" s="493"/>
      <c r="Z131" s="493"/>
      <c r="AA131" s="493"/>
      <c r="AB131" s="493"/>
      <c r="AC131" s="493"/>
    </row>
    <row r="132" spans="1:33" x14ac:dyDescent="0.7">
      <c r="A132" s="153"/>
      <c r="B132" s="153">
        <v>2023</v>
      </c>
      <c r="C132" s="153">
        <v>2024</v>
      </c>
      <c r="D132" s="153">
        <v>2025</v>
      </c>
      <c r="E132" s="153">
        <v>2026</v>
      </c>
      <c r="F132" s="153">
        <v>2027</v>
      </c>
      <c r="G132" s="153">
        <v>2028</v>
      </c>
      <c r="H132" s="153">
        <v>2029</v>
      </c>
      <c r="I132" s="153">
        <v>2030</v>
      </c>
      <c r="J132" s="153">
        <v>2031</v>
      </c>
      <c r="K132" s="153">
        <v>2032</v>
      </c>
      <c r="L132" s="153">
        <v>2033</v>
      </c>
      <c r="M132" s="153">
        <v>2034</v>
      </c>
      <c r="N132" s="153">
        <v>2035</v>
      </c>
      <c r="O132" s="153">
        <v>2036</v>
      </c>
      <c r="P132" s="153">
        <v>2037</v>
      </c>
      <c r="Q132" s="153">
        <v>2038</v>
      </c>
      <c r="R132" s="153">
        <v>2039</v>
      </c>
      <c r="S132" s="153">
        <v>2040</v>
      </c>
      <c r="T132" s="153">
        <v>2041</v>
      </c>
      <c r="U132" s="153">
        <v>2042</v>
      </c>
      <c r="V132" s="153">
        <v>2043</v>
      </c>
      <c r="W132" s="153">
        <v>2044</v>
      </c>
      <c r="X132" s="153">
        <v>2045</v>
      </c>
      <c r="Y132" s="153">
        <v>2046</v>
      </c>
      <c r="Z132" s="153">
        <v>2047</v>
      </c>
      <c r="AA132" s="153">
        <v>2048</v>
      </c>
      <c r="AB132" s="153">
        <v>2049</v>
      </c>
      <c r="AC132" s="153">
        <v>2050</v>
      </c>
    </row>
    <row r="133" spans="1:33" x14ac:dyDescent="0.7">
      <c r="A133" s="526" t="s">
        <v>340</v>
      </c>
      <c r="B133" s="527"/>
      <c r="C133" s="527"/>
      <c r="D133" s="527"/>
      <c r="E133" s="527"/>
      <c r="F133" s="527"/>
      <c r="G133" s="527"/>
      <c r="H133" s="527"/>
      <c r="I133" s="527"/>
      <c r="J133" s="527"/>
      <c r="K133" s="527"/>
      <c r="L133" s="527"/>
      <c r="M133" s="527"/>
      <c r="N133" s="527"/>
      <c r="O133" s="527"/>
      <c r="P133" s="527"/>
      <c r="Q133" s="527"/>
      <c r="R133" s="527"/>
      <c r="S133" s="527"/>
      <c r="T133" s="527"/>
      <c r="U133" s="527"/>
      <c r="V133" s="527"/>
      <c r="W133" s="527"/>
      <c r="X133" s="527"/>
      <c r="Y133" s="527"/>
      <c r="Z133" s="527"/>
      <c r="AA133" s="527"/>
      <c r="AB133" s="527"/>
      <c r="AC133" s="528"/>
    </row>
    <row r="134" spans="1:33" x14ac:dyDescent="0.7">
      <c r="A134" s="271" t="s">
        <v>580</v>
      </c>
      <c r="B134" s="321"/>
      <c r="C134" s="321"/>
      <c r="D134" s="321"/>
      <c r="E134" s="321"/>
      <c r="F134" s="321"/>
      <c r="G134" s="321"/>
      <c r="H134" s="321"/>
      <c r="I134" s="321"/>
      <c r="J134" s="321"/>
      <c r="K134" s="321"/>
      <c r="L134" s="321"/>
      <c r="M134" s="321"/>
      <c r="N134" s="321"/>
      <c r="O134" s="321"/>
      <c r="P134" s="321"/>
      <c r="Q134" s="321"/>
      <c r="R134" s="321"/>
      <c r="S134" s="321"/>
      <c r="T134" s="321"/>
      <c r="U134" s="321"/>
      <c r="V134" s="321"/>
      <c r="W134" s="321"/>
      <c r="X134" s="321"/>
      <c r="Y134" s="321"/>
      <c r="Z134" s="321"/>
      <c r="AA134" s="321"/>
      <c r="AB134" s="321"/>
      <c r="AC134" s="322"/>
      <c r="AE134" s="264"/>
      <c r="AF134" s="270"/>
      <c r="AG134" s="270"/>
    </row>
    <row r="135" spans="1:33" x14ac:dyDescent="0.7">
      <c r="A135" s="319" t="s">
        <v>559</v>
      </c>
      <c r="B135" s="320">
        <v>0</v>
      </c>
      <c r="C135" s="320">
        <f>C15</f>
        <v>3663220</v>
      </c>
      <c r="D135" s="320">
        <f t="shared" ref="D135:AC135" si="54">D15</f>
        <v>3663220</v>
      </c>
      <c r="E135" s="320">
        <f t="shared" si="54"/>
        <v>3663220</v>
      </c>
      <c r="F135" s="320">
        <f t="shared" si="54"/>
        <v>3663219</v>
      </c>
      <c r="G135" s="320">
        <f t="shared" si="54"/>
        <v>3663220</v>
      </c>
      <c r="H135" s="320">
        <f t="shared" si="54"/>
        <v>3663220</v>
      </c>
      <c r="I135" s="320">
        <f t="shared" si="54"/>
        <v>3663220</v>
      </c>
      <c r="J135" s="320">
        <f t="shared" si="54"/>
        <v>3663219</v>
      </c>
      <c r="K135" s="320">
        <f t="shared" si="54"/>
        <v>3663220</v>
      </c>
      <c r="L135" s="320">
        <f t="shared" si="54"/>
        <v>3663220</v>
      </c>
      <c r="M135" s="320">
        <f t="shared" si="54"/>
        <v>3663220</v>
      </c>
      <c r="N135" s="320">
        <f t="shared" si="54"/>
        <v>3663220</v>
      </c>
      <c r="O135" s="320">
        <f t="shared" si="54"/>
        <v>3663219</v>
      </c>
      <c r="P135" s="320">
        <f t="shared" si="54"/>
        <v>3663220</v>
      </c>
      <c r="Q135" s="320">
        <f t="shared" si="54"/>
        <v>3663220</v>
      </c>
      <c r="R135" s="320">
        <f t="shared" si="54"/>
        <v>3663220</v>
      </c>
      <c r="S135" s="320">
        <f t="shared" si="54"/>
        <v>3663219</v>
      </c>
      <c r="T135" s="320">
        <f t="shared" si="54"/>
        <v>3822097</v>
      </c>
      <c r="U135" s="320">
        <f t="shared" si="54"/>
        <v>3846985</v>
      </c>
      <c r="V135" s="320">
        <f t="shared" si="54"/>
        <v>3872033</v>
      </c>
      <c r="W135" s="320">
        <f t="shared" si="54"/>
        <v>3897246</v>
      </c>
      <c r="X135" s="320">
        <f t="shared" si="54"/>
        <v>3922623</v>
      </c>
      <c r="Y135" s="320">
        <f t="shared" si="54"/>
        <v>3948164</v>
      </c>
      <c r="Z135" s="320">
        <f t="shared" si="54"/>
        <v>3973872</v>
      </c>
      <c r="AA135" s="320">
        <f t="shared" si="54"/>
        <v>3999748</v>
      </c>
      <c r="AB135" s="320">
        <f t="shared" si="54"/>
        <v>4025792</v>
      </c>
      <c r="AC135" s="320">
        <f t="shared" si="54"/>
        <v>4052005</v>
      </c>
      <c r="AE135" s="264"/>
      <c r="AF135" s="270"/>
      <c r="AG135" s="270"/>
    </row>
    <row r="136" spans="1:33" x14ac:dyDescent="0.7">
      <c r="A136" s="319" t="s">
        <v>599</v>
      </c>
      <c r="B136" s="320">
        <f>B15*$B$184</f>
        <v>0</v>
      </c>
      <c r="C136" s="320">
        <v>0</v>
      </c>
      <c r="D136" s="320">
        <v>0</v>
      </c>
      <c r="E136" s="320">
        <v>0</v>
      </c>
      <c r="F136" s="320">
        <v>0</v>
      </c>
      <c r="G136" s="320">
        <v>0</v>
      </c>
      <c r="H136" s="320">
        <v>0</v>
      </c>
      <c r="I136" s="320">
        <v>0</v>
      </c>
      <c r="J136" s="320">
        <v>0</v>
      </c>
      <c r="K136" s="320">
        <v>0</v>
      </c>
      <c r="L136" s="320">
        <v>0</v>
      </c>
      <c r="M136" s="320">
        <v>0</v>
      </c>
      <c r="N136" s="320">
        <v>0</v>
      </c>
      <c r="O136" s="320">
        <v>0</v>
      </c>
      <c r="P136" s="320">
        <v>0</v>
      </c>
      <c r="Q136" s="320">
        <f>C135</f>
        <v>3663220</v>
      </c>
      <c r="R136" s="320">
        <f t="shared" ref="R136:AC136" si="55">D135</f>
        <v>3663220</v>
      </c>
      <c r="S136" s="320">
        <f t="shared" si="55"/>
        <v>3663220</v>
      </c>
      <c r="T136" s="320">
        <f t="shared" si="55"/>
        <v>3663219</v>
      </c>
      <c r="U136" s="320">
        <f t="shared" si="55"/>
        <v>3663220</v>
      </c>
      <c r="V136" s="320">
        <f t="shared" si="55"/>
        <v>3663220</v>
      </c>
      <c r="W136" s="320">
        <f t="shared" si="55"/>
        <v>3663220</v>
      </c>
      <c r="X136" s="320">
        <f t="shared" si="55"/>
        <v>3663219</v>
      </c>
      <c r="Y136" s="320">
        <f t="shared" si="55"/>
        <v>3663220</v>
      </c>
      <c r="Z136" s="320">
        <f t="shared" si="55"/>
        <v>3663220</v>
      </c>
      <c r="AA136" s="320">
        <f t="shared" si="55"/>
        <v>3663220</v>
      </c>
      <c r="AB136" s="320">
        <f t="shared" si="55"/>
        <v>3663220</v>
      </c>
      <c r="AC136" s="320">
        <f t="shared" si="55"/>
        <v>3663219</v>
      </c>
      <c r="AE136" s="264"/>
      <c r="AF136" s="270"/>
      <c r="AG136" s="270"/>
    </row>
    <row r="137" spans="1:33" x14ac:dyDescent="0.7">
      <c r="A137" s="170" t="s">
        <v>570</v>
      </c>
      <c r="B137" s="21">
        <f>B135*(1/$B$245)*$B$246*$B$244</f>
        <v>0</v>
      </c>
      <c r="C137" s="21">
        <f>(C135+C136)*(1/$B$245)*$B$246*$B$244</f>
        <v>349.01307368615818</v>
      </c>
      <c r="D137" s="21">
        <f t="shared" ref="D137:AC137" si="56">(D135+D136)*(1/$B$245)*$B$246*$B$244+C137</f>
        <v>698.02614737231636</v>
      </c>
      <c r="E137" s="21">
        <f t="shared" si="56"/>
        <v>1047.0392210584746</v>
      </c>
      <c r="F137" s="21">
        <f t="shared" si="56"/>
        <v>1396.0521994696905</v>
      </c>
      <c r="G137" s="21">
        <f t="shared" si="56"/>
        <v>1745.0652731558487</v>
      </c>
      <c r="H137" s="21">
        <f t="shared" si="56"/>
        <v>2094.0783468420068</v>
      </c>
      <c r="I137" s="21">
        <f t="shared" si="56"/>
        <v>2443.0914205281651</v>
      </c>
      <c r="J137" s="21">
        <f t="shared" si="56"/>
        <v>2792.1043989393811</v>
      </c>
      <c r="K137" s="21">
        <f t="shared" si="56"/>
        <v>3141.1174726255394</v>
      </c>
      <c r="L137" s="21">
        <f t="shared" si="56"/>
        <v>3490.1305463116978</v>
      </c>
      <c r="M137" s="21">
        <f t="shared" si="56"/>
        <v>3839.1436199978561</v>
      </c>
      <c r="N137" s="21">
        <f t="shared" si="56"/>
        <v>4188.1566936840145</v>
      </c>
      <c r="O137" s="21">
        <f t="shared" si="56"/>
        <v>4537.1696720952305</v>
      </c>
      <c r="P137" s="21">
        <f t="shared" si="56"/>
        <v>4886.1827457813888</v>
      </c>
      <c r="Q137" s="21">
        <f t="shared" si="56"/>
        <v>5584.2088931537055</v>
      </c>
      <c r="R137" s="21">
        <f t="shared" si="56"/>
        <v>6282.2350405260222</v>
      </c>
      <c r="S137" s="21">
        <f t="shared" si="56"/>
        <v>6980.2610926233965</v>
      </c>
      <c r="T137" s="21">
        <f t="shared" si="56"/>
        <v>7693.4241417092226</v>
      </c>
      <c r="U137" s="21">
        <f t="shared" si="56"/>
        <v>8408.9584888309219</v>
      </c>
      <c r="V137" s="21">
        <f t="shared" si="56"/>
        <v>9126.8792827043017</v>
      </c>
      <c r="W137" s="21">
        <f t="shared" si="56"/>
        <v>9847.2022436948228</v>
      </c>
      <c r="X137" s="21">
        <f t="shared" si="56"/>
        <v>10569.942901618058</v>
      </c>
      <c r="Y137" s="21">
        <f t="shared" si="56"/>
        <v>11295.11707211441</v>
      </c>
      <c r="Z137" s="21">
        <f t="shared" si="56"/>
        <v>12022.74057082428</v>
      </c>
      <c r="AA137" s="21">
        <f t="shared" si="56"/>
        <v>12752.829403937954</v>
      </c>
      <c r="AB137" s="21">
        <f t="shared" si="56"/>
        <v>13485.399577645718</v>
      </c>
      <c r="AC137" s="21">
        <f t="shared" si="56"/>
        <v>14220.467098137857</v>
      </c>
      <c r="AE137" s="264"/>
      <c r="AF137" s="270"/>
      <c r="AG137" s="270"/>
    </row>
    <row r="138" spans="1:33" x14ac:dyDescent="0.7">
      <c r="A138" s="170" t="s">
        <v>571</v>
      </c>
      <c r="B138" s="21">
        <f>(B137*(1/'Emission Factors and Constants'!$A$5))*('Forecast Parameters'!B228*'Emission Factors and Constants'!$C$28+'Forecast Parameters'!B229*'Emission Factors and Constants'!$C$30+'Forecast Parameters'!B230*'Emission Factors and Constants'!$C$31)</f>
        <v>0</v>
      </c>
      <c r="C138" s="21">
        <f>C137*(1/'Emission Factors and Constants'!$A$5)*'Forecast Parameters'!C229*'Emission Factors and Constants'!$C$30+C137*(1/'Emission Factors and Constants'!$A$5)*'Forecast Parameters'!C230*'Emission Factors and Constants'!$C$31</f>
        <v>304.5090071011445</v>
      </c>
      <c r="D138" s="21">
        <f>D137*(1/'Emission Factors and Constants'!$A$5)*'Forecast Parameters'!D229*'Emission Factors and Constants'!$C$30+D137*(1/'Emission Factors and Constants'!$A$5)*'Forecast Parameters'!D230*'Emission Factors and Constants'!$C$31</f>
        <v>214.35154438001024</v>
      </c>
      <c r="E138" s="21">
        <f>E137*(1/'Emission Factors and Constants'!$A$5)*'Forecast Parameters'!E229*'Emission Factors and Constants'!$C$30+E137*(1/'Emission Factors and Constants'!$A$5)*'Forecast Parameters'!E230*'Emission Factors and Constants'!$C$31</f>
        <v>321.52731657001539</v>
      </c>
      <c r="F138" s="21">
        <f>F137*(1/'Emission Factors and Constants'!$A$5)*'Forecast Parameters'!F229*'Emission Factors and Constants'!$C$30+F137*(1/'Emission Factors and Constants'!$A$5)*'Forecast Parameters'!F230*'Emission Factors and Constants'!$C$31</f>
        <v>428.70305950276258</v>
      </c>
      <c r="G138" s="21">
        <f>G137*(1/'Emission Factors and Constants'!$A$5)*'Forecast Parameters'!G229*'Emission Factors and Constants'!$C$30+G137*(1/'Emission Factors and Constants'!$A$5)*'Forecast Parameters'!G230*'Emission Factors and Constants'!$C$31</f>
        <v>535.87883169276768</v>
      </c>
      <c r="H138" s="21">
        <f>H137*(1/'Emission Factors and Constants'!$A$5)*'Forecast Parameters'!H229*'Emission Factors and Constants'!$C$30+H137*(1/'Emission Factors and Constants'!$A$5)*'Forecast Parameters'!H230*'Emission Factors and Constants'!$C$31</f>
        <v>643.05460388277277</v>
      </c>
      <c r="I138" s="21">
        <f>I137*(1/'Emission Factors and Constants'!$A$5)*'Forecast Parameters'!I229*'Emission Factors and Constants'!$C$30+I137*(1/'Emission Factors and Constants'!$A$5)*'Forecast Parameters'!I230*'Emission Factors and Constants'!$C$31</f>
        <v>750.23037607277797</v>
      </c>
      <c r="J138" s="21">
        <f>J137*(1/'Emission Factors and Constants'!$A$5)*'Forecast Parameters'!J229*'Emission Factors and Constants'!$C$30+J137*(1/'Emission Factors and Constants'!$A$5)*'Forecast Parameters'!J230*'Emission Factors and Constants'!$C$31</f>
        <v>857.40611900552517</v>
      </c>
      <c r="K138" s="21">
        <f>K137*(1/'Emission Factors and Constants'!$A$5)*'Forecast Parameters'!K229*'Emission Factors and Constants'!$C$30+K137*(1/'Emission Factors and Constants'!$A$5)*'Forecast Parameters'!K230*'Emission Factors and Constants'!$C$31</f>
        <v>964.58189119553037</v>
      </c>
      <c r="L138" s="21">
        <f>L137*(1/'Emission Factors and Constants'!$A$5)*'Forecast Parameters'!L229*'Emission Factors and Constants'!$C$30+L137*(1/'Emission Factors and Constants'!$A$5)*'Forecast Parameters'!L230*'Emission Factors and Constants'!$C$31</f>
        <v>1071.7576633855356</v>
      </c>
      <c r="M138" s="21">
        <f>M137*(1/'Emission Factors and Constants'!$A$5)*'Forecast Parameters'!M229*'Emission Factors and Constants'!$C$30+M137*(1/'Emission Factors and Constants'!$A$5)*'Forecast Parameters'!M230*'Emission Factors and Constants'!$C$31</f>
        <v>1178.9334355755407</v>
      </c>
      <c r="N138" s="21">
        <f>N137*(1/'Emission Factors and Constants'!$A$5)*'Forecast Parameters'!N229*'Emission Factors and Constants'!$C$30+N137*(1/'Emission Factors and Constants'!$A$5)*'Forecast Parameters'!N230*'Emission Factors and Constants'!$C$31</f>
        <v>1286.109207765546</v>
      </c>
      <c r="O138" s="21">
        <f>O137*(1/'Emission Factors and Constants'!$A$5)*'Forecast Parameters'!O229*'Emission Factors and Constants'!$C$30+O137*(1/'Emission Factors and Constants'!$A$5)*'Forecast Parameters'!O230*'Emission Factors and Constants'!$C$31</f>
        <v>1393.2849506982932</v>
      </c>
      <c r="P138" s="21">
        <f>P137*(1/'Emission Factors and Constants'!$A$5)*'Forecast Parameters'!P229*'Emission Factors and Constants'!$C$30+P137*(1/'Emission Factors and Constants'!$A$5)*'Forecast Parameters'!P230*'Emission Factors and Constants'!$C$31</f>
        <v>1500.4607228882985</v>
      </c>
      <c r="Q138" s="21">
        <f>Q137*(1/'Emission Factors and Constants'!$A$5)*'Forecast Parameters'!Q229*'Emission Factors and Constants'!$C$30+Q137*(1/'Emission Factors and Constants'!$A$5)*'Forecast Parameters'!Q230*'Emission Factors and Constants'!$C$31</f>
        <v>1714.8122672683087</v>
      </c>
      <c r="R138" s="21">
        <f>R137*(1/'Emission Factors and Constants'!$A$5)*'Forecast Parameters'!R229*'Emission Factors and Constants'!$C$30+R137*(1/'Emission Factors and Constants'!$A$5)*'Forecast Parameters'!R230*'Emission Factors and Constants'!$C$31</f>
        <v>1929.1638116483189</v>
      </c>
      <c r="S138" s="21">
        <f>S137*(1/'Emission Factors and Constants'!$A$5)*'Forecast Parameters'!S229*'Emission Factors and Constants'!$C$30+S137*(1/'Emission Factors and Constants'!$A$5)*'Forecast Parameters'!S230*'Emission Factors and Constants'!$C$31</f>
        <v>2143.5153267710712</v>
      </c>
      <c r="T138" s="21">
        <f>T137*(1/'Emission Factors and Constants'!$A$5)*'Forecast Parameters'!T229*'Emission Factors and Constants'!$C$30+T137*(1/'Emission Factors and Constants'!$A$5)*'Forecast Parameters'!T230*'Emission Factors and Constants'!$C$31</f>
        <v>2362.5151472531065</v>
      </c>
      <c r="U138" s="21">
        <f>U137*(1/'Emission Factors and Constants'!$A$5)*'Forecast Parameters'!U229*'Emission Factors and Constants'!$C$30+U137*(1/'Emission Factors and Constants'!$A$5)*'Forecast Parameters'!U230*'Emission Factors and Constants'!$C$31</f>
        <v>2582.2431516263728</v>
      </c>
      <c r="V138" s="21">
        <f>V137*(1/'Emission Factors and Constants'!$A$5)*'Forecast Parameters'!V229*'Emission Factors and Constants'!$C$30+V137*(1/'Emission Factors and Constants'!$A$5)*'Forecast Parameters'!V230*'Emission Factors and Constants'!$C$31</f>
        <v>2802.7039917948728</v>
      </c>
      <c r="W138" s="21">
        <f>W137*(1/'Emission Factors and Constants'!$A$5)*'Forecast Parameters'!W229*'Emission Factors and Constants'!$C$30+W137*(1/'Emission Factors and Constants'!$A$5)*'Forecast Parameters'!W230*'Emission Factors and Constants'!$C$31</f>
        <v>3023.9024952061559</v>
      </c>
      <c r="X138" s="21">
        <f>X137*(1/'Emission Factors and Constants'!$A$5)*'Forecast Parameters'!X229*'Emission Factors and Constants'!$C$30+X137*(1/'Emission Factors and Constants'!$A$5)*'Forecast Parameters'!X230*'Emission Factors and Constants'!$C$31</f>
        <v>3245.8434307932548</v>
      </c>
      <c r="Y138" s="21">
        <f>Y137*(1/'Emission Factors and Constants'!$A$5)*'Forecast Parameters'!Y229*'Emission Factors and Constants'!$C$30+Y137*(1/'Emission Factors and Constants'!$A$5)*'Forecast Parameters'!Y230*'Emission Factors and Constants'!$C$31</f>
        <v>3468.531655260977</v>
      </c>
      <c r="Z138" s="21">
        <f>Z137*(1/'Emission Factors and Constants'!$A$5)*'Forecast Parameters'!Z229*'Emission Factors and Constants'!$C$30+Z137*(1/'Emission Factors and Constants'!$A$5)*'Forecast Parameters'!Z230*'Emission Factors and Constants'!$C$31</f>
        <v>3691.9720253141304</v>
      </c>
      <c r="AA138" s="21">
        <f>AA137*(1/'Emission Factors and Constants'!$A$5)*'Forecast Parameters'!AA229*'Emission Factors and Constants'!$C$30+AA137*(1/'Emission Factors and Constants'!$A$5)*'Forecast Parameters'!AA230*'Emission Factors and Constants'!$C$31</f>
        <v>3916.1694561720365</v>
      </c>
      <c r="AB138" s="21">
        <f>AB137*(1/'Emission Factors and Constants'!$A$5)*'Forecast Parameters'!AB229*'Emission Factors and Constants'!$C$30+AB137*(1/'Emission Factors and Constants'!$A$5)*'Forecast Parameters'!AB230*'Emission Factors and Constants'!$C$31</f>
        <v>4141.1288630540184</v>
      </c>
      <c r="AC138" s="21">
        <f>AC137*(1/'Emission Factors and Constants'!$A$5)*'Forecast Parameters'!AC229*'Emission Factors and Constants'!$C$30+AC137*(1/'Emission Factors and Constants'!$A$5)*'Forecast Parameters'!AC230*'Emission Factors and Constants'!$C$31</f>
        <v>4366.8551611794001</v>
      </c>
      <c r="AE138" s="264"/>
      <c r="AF138" s="270"/>
      <c r="AG138" s="270"/>
    </row>
    <row r="139" spans="1:33" x14ac:dyDescent="0.7">
      <c r="A139" s="316" t="s">
        <v>581</v>
      </c>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E139" s="264"/>
      <c r="AF139" s="270"/>
      <c r="AG139" s="270"/>
    </row>
    <row r="140" spans="1:33" x14ac:dyDescent="0.7">
      <c r="A140" s="170" t="s">
        <v>568</v>
      </c>
      <c r="B140" s="21">
        <v>0</v>
      </c>
      <c r="C140" s="21">
        <f>'Forecast Parameters'!$C$92</f>
        <v>547556144.24211955</v>
      </c>
      <c r="D140" s="21">
        <f>'Forecast Parameters'!$C$92</f>
        <v>547556144.24211955</v>
      </c>
      <c r="E140" s="21">
        <f>'Forecast Parameters'!$C$92</f>
        <v>547556144.24211955</v>
      </c>
      <c r="F140" s="21">
        <f>'Forecast Parameters'!$C$92</f>
        <v>547556144.24211955</v>
      </c>
      <c r="G140" s="21">
        <f>'Forecast Parameters'!$C$92</f>
        <v>547556144.24211955</v>
      </c>
      <c r="H140" s="21">
        <f>'Forecast Parameters'!$C$92</f>
        <v>547556144.24211955</v>
      </c>
      <c r="I140" s="21">
        <f>'Forecast Parameters'!$C$92</f>
        <v>547556144.24211955</v>
      </c>
      <c r="J140" s="21">
        <f>'Forecast Parameters'!$C$92</f>
        <v>547556144.24211955</v>
      </c>
      <c r="K140" s="21">
        <f>'Forecast Parameters'!$C$92</f>
        <v>547556144.24211955</v>
      </c>
      <c r="L140" s="21">
        <f>'Forecast Parameters'!$C$92</f>
        <v>547556144.24211955</v>
      </c>
      <c r="M140" s="21">
        <f>'Forecast Parameters'!$C$92</f>
        <v>547556144.24211955</v>
      </c>
      <c r="N140" s="21">
        <f>'Forecast Parameters'!$C$92</f>
        <v>547556144.24211955</v>
      </c>
      <c r="O140" s="21">
        <f>'Forecast Parameters'!$C$92</f>
        <v>547556144.24211955</v>
      </c>
      <c r="P140" s="21">
        <f>'Forecast Parameters'!$C$92</f>
        <v>547556144.24211955</v>
      </c>
      <c r="Q140" s="21">
        <f>'Forecast Parameters'!$C$92</f>
        <v>547556144.24211955</v>
      </c>
      <c r="R140" s="21">
        <f>'Forecast Parameters'!$C$92</f>
        <v>547556144.24211955</v>
      </c>
      <c r="S140" s="21">
        <f>'Forecast Parameters'!$C$92</f>
        <v>547556144.24211955</v>
      </c>
      <c r="T140" s="21">
        <f>'Forecast Parameters'!$C$92</f>
        <v>547556144.24211955</v>
      </c>
      <c r="U140" s="21">
        <f>'Forecast Parameters'!$C$92</f>
        <v>547556144.24211955</v>
      </c>
      <c r="V140" s="21">
        <f>'Forecast Parameters'!$C$92</f>
        <v>547556144.24211955</v>
      </c>
      <c r="W140" s="21">
        <f>'Forecast Parameters'!$C$92</f>
        <v>547556144.24211955</v>
      </c>
      <c r="X140" s="21">
        <f>'Forecast Parameters'!$C$92</f>
        <v>547556144.24211955</v>
      </c>
      <c r="Y140" s="21">
        <f>'Forecast Parameters'!$C$92</f>
        <v>547556144.24211955</v>
      </c>
      <c r="Z140" s="21">
        <f>'Forecast Parameters'!$C$92</f>
        <v>547556144.24211955</v>
      </c>
      <c r="AA140" s="21">
        <f>'Forecast Parameters'!$C$92</f>
        <v>547556144.24211955</v>
      </c>
      <c r="AB140" s="21">
        <f>'Forecast Parameters'!$C$92</f>
        <v>547556144.24211955</v>
      </c>
      <c r="AC140" s="21">
        <f>'Forecast Parameters'!$C$92</f>
        <v>547556144.24211955</v>
      </c>
      <c r="AE140" s="264"/>
      <c r="AF140" s="270"/>
      <c r="AG140" s="270"/>
    </row>
    <row r="141" spans="1:33" x14ac:dyDescent="0.7">
      <c r="A141" s="170" t="s">
        <v>569</v>
      </c>
      <c r="B141" s="21">
        <f>B140*(1/$B$245)*$B$246*$B$244</f>
        <v>0</v>
      </c>
      <c r="C141" s="21">
        <f>(C140*($B$240+$B$241))*(1/$B$245)*$B$246*$B$244</f>
        <v>44325.59297703021</v>
      </c>
      <c r="D141" s="21">
        <f t="shared" ref="D141:AC141" si="57">(D140*($B$240+$B$241))*(1/$B$245)*$B$246*$B$244</f>
        <v>44325.59297703021</v>
      </c>
      <c r="E141" s="21">
        <f t="shared" si="57"/>
        <v>44325.59297703021</v>
      </c>
      <c r="F141" s="21">
        <f t="shared" si="57"/>
        <v>44325.59297703021</v>
      </c>
      <c r="G141" s="21">
        <f t="shared" si="57"/>
        <v>44325.59297703021</v>
      </c>
      <c r="H141" s="21">
        <f t="shared" si="57"/>
        <v>44325.59297703021</v>
      </c>
      <c r="I141" s="21">
        <f t="shared" si="57"/>
        <v>44325.59297703021</v>
      </c>
      <c r="J141" s="21">
        <f t="shared" si="57"/>
        <v>44325.59297703021</v>
      </c>
      <c r="K141" s="21">
        <f t="shared" si="57"/>
        <v>44325.59297703021</v>
      </c>
      <c r="L141" s="21">
        <f t="shared" si="57"/>
        <v>44325.59297703021</v>
      </c>
      <c r="M141" s="21">
        <f t="shared" si="57"/>
        <v>44325.59297703021</v>
      </c>
      <c r="N141" s="21">
        <f t="shared" si="57"/>
        <v>44325.59297703021</v>
      </c>
      <c r="O141" s="21">
        <f t="shared" si="57"/>
        <v>44325.59297703021</v>
      </c>
      <c r="P141" s="21">
        <f t="shared" si="57"/>
        <v>44325.59297703021</v>
      </c>
      <c r="Q141" s="21">
        <f t="shared" si="57"/>
        <v>44325.59297703021</v>
      </c>
      <c r="R141" s="21">
        <f t="shared" si="57"/>
        <v>44325.59297703021</v>
      </c>
      <c r="S141" s="21">
        <f t="shared" si="57"/>
        <v>44325.59297703021</v>
      </c>
      <c r="T141" s="21">
        <f t="shared" si="57"/>
        <v>44325.59297703021</v>
      </c>
      <c r="U141" s="21">
        <f t="shared" si="57"/>
        <v>44325.59297703021</v>
      </c>
      <c r="V141" s="21">
        <f t="shared" si="57"/>
        <v>44325.59297703021</v>
      </c>
      <c r="W141" s="21">
        <f t="shared" si="57"/>
        <v>44325.59297703021</v>
      </c>
      <c r="X141" s="21">
        <f t="shared" si="57"/>
        <v>44325.59297703021</v>
      </c>
      <c r="Y141" s="21">
        <f t="shared" si="57"/>
        <v>44325.59297703021</v>
      </c>
      <c r="Z141" s="21">
        <f t="shared" si="57"/>
        <v>44325.59297703021</v>
      </c>
      <c r="AA141" s="21">
        <f t="shared" si="57"/>
        <v>44325.59297703021</v>
      </c>
      <c r="AB141" s="21">
        <f t="shared" si="57"/>
        <v>44325.59297703021</v>
      </c>
      <c r="AC141" s="21">
        <f t="shared" si="57"/>
        <v>44325.59297703021</v>
      </c>
      <c r="AE141" s="264"/>
      <c r="AF141" s="270"/>
      <c r="AG141" s="270"/>
    </row>
    <row r="142" spans="1:33" x14ac:dyDescent="0.7">
      <c r="A142" s="170" t="s">
        <v>571</v>
      </c>
      <c r="B142" s="21">
        <f>(B141*(1/'Emission Factors and Constants'!$A$5))*('Forecast Parameters'!B223*'Emission Factors and Constants'!$C$28+'Forecast Parameters'!B224*'Emission Factors and Constants'!$C$30+'Forecast Parameters'!B225*'Emission Factors and Constants'!$C$31)</f>
        <v>0</v>
      </c>
      <c r="C142" s="21">
        <f>(C141*(1/'Emission Factors and Constants'!$A$9))*('Forecast Parameters'!C223*'Emission Factors and Constants'!$C$28+'Forecast Parameters'!C224*'Emission Factors and Constants'!$C$30+'Forecast Parameters'!C225*'Emission Factors and Constants'!$C$31)</f>
        <v>85260.27809131761</v>
      </c>
      <c r="D142" s="21">
        <f>(D141*(1/'Emission Factors and Constants'!$A$9))*('Forecast Parameters'!D223*'Emission Factors and Constants'!$C$28+'Forecast Parameters'!D224*'Emission Factors and Constants'!$C$30+'Forecast Parameters'!D225*'Emission Factors and Constants'!$C$31)</f>
        <v>81313.717259469893</v>
      </c>
      <c r="E142" s="21">
        <f>(E141*(1/'Emission Factors and Constants'!$A$9))*('Forecast Parameters'!E223*'Emission Factors and Constants'!$C$28+'Forecast Parameters'!E224*'Emission Factors and Constants'!$C$30+'Forecast Parameters'!E225*'Emission Factors and Constants'!$C$31)</f>
        <v>77367.156427622162</v>
      </c>
      <c r="F142" s="21">
        <f>(F141*(1/'Emission Factors and Constants'!$A$9))*('Forecast Parameters'!F223*'Emission Factors and Constants'!$C$28+'Forecast Parameters'!F224*'Emission Factors and Constants'!$C$30+'Forecast Parameters'!F225*'Emission Factors and Constants'!$C$31)</f>
        <v>73420.59559577443</v>
      </c>
      <c r="G142" s="21">
        <f>(G141*(1/'Emission Factors and Constants'!$A$9))*('Forecast Parameters'!G223*'Emission Factors and Constants'!$C$28+'Forecast Parameters'!G224*'Emission Factors and Constants'!$C$30+'Forecast Parameters'!G225*'Emission Factors and Constants'!$C$31)</f>
        <v>69474.034763926713</v>
      </c>
      <c r="H142" s="21">
        <f>(H141*(1/'Emission Factors and Constants'!$A$9))*('Forecast Parameters'!H223*'Emission Factors and Constants'!$C$28+'Forecast Parameters'!H224*'Emission Factors and Constants'!$C$30+'Forecast Parameters'!H225*'Emission Factors and Constants'!$C$31)</f>
        <v>65527.473932078989</v>
      </c>
      <c r="I142" s="21">
        <f>(I141*(1/'Emission Factors and Constants'!$A$9))*('Forecast Parameters'!I223*'Emission Factors and Constants'!$C$28+'Forecast Parameters'!I224*'Emission Factors and Constants'!$C$30+'Forecast Parameters'!I225*'Emission Factors and Constants'!$C$31)</f>
        <v>61580.913100231264</v>
      </c>
      <c r="J142" s="21">
        <f>(J141*(1/'Emission Factors and Constants'!$A$9))*('Forecast Parameters'!J223*'Emission Factors and Constants'!$C$28+'Forecast Parameters'!J224*'Emission Factors and Constants'!$C$30+'Forecast Parameters'!J225*'Emission Factors and Constants'!$C$31)</f>
        <v>57634.35226838354</v>
      </c>
      <c r="K142" s="21">
        <f>(K141*(1/'Emission Factors and Constants'!$A$9))*('Forecast Parameters'!K223*'Emission Factors and Constants'!$C$28+'Forecast Parameters'!K224*'Emission Factors and Constants'!$C$30+'Forecast Parameters'!K225*'Emission Factors and Constants'!$C$31)</f>
        <v>53687.791436535808</v>
      </c>
      <c r="L142" s="21">
        <f>(L141*(1/'Emission Factors and Constants'!$A$9))*('Forecast Parameters'!L223*'Emission Factors and Constants'!$C$28+'Forecast Parameters'!L224*'Emission Factors and Constants'!$C$30+'Forecast Parameters'!L225*'Emission Factors and Constants'!$C$31)</f>
        <v>49741.230604688084</v>
      </c>
      <c r="M142" s="21">
        <f>(M141*(1/'Emission Factors and Constants'!$A$9))*('Forecast Parameters'!M223*'Emission Factors and Constants'!$C$28+'Forecast Parameters'!M224*'Emission Factors and Constants'!$C$30+'Forecast Parameters'!M225*'Emission Factors and Constants'!$C$31)</f>
        <v>45794.669772840367</v>
      </c>
      <c r="N142" s="21">
        <f>(N141*(1/'Emission Factors and Constants'!$A$9))*('Forecast Parameters'!N223*'Emission Factors and Constants'!$C$28+'Forecast Parameters'!N224*'Emission Factors and Constants'!$C$30+'Forecast Parameters'!N225*'Emission Factors and Constants'!$C$31)</f>
        <v>41848.108940992643</v>
      </c>
      <c r="O142" s="21">
        <f>(O141*(1/'Emission Factors and Constants'!$A$9))*('Forecast Parameters'!O223*'Emission Factors and Constants'!$C$28+'Forecast Parameters'!O224*'Emission Factors and Constants'!$C$30+'Forecast Parameters'!O225*'Emission Factors and Constants'!$C$31)</f>
        <v>37901.548109144918</v>
      </c>
      <c r="P142" s="21">
        <f>(P141*(1/'Emission Factors and Constants'!$A$9))*('Forecast Parameters'!P223*'Emission Factors and Constants'!$C$28+'Forecast Parameters'!P224*'Emission Factors and Constants'!$C$30+'Forecast Parameters'!P225*'Emission Factors and Constants'!$C$31)</f>
        <v>33954.987277297194</v>
      </c>
      <c r="Q142" s="21">
        <f>(Q141*(1/'Emission Factors and Constants'!$A$9))*('Forecast Parameters'!Q223*'Emission Factors and Constants'!$C$28+'Forecast Parameters'!Q224*'Emission Factors and Constants'!$C$30+'Forecast Parameters'!Q225*'Emission Factors and Constants'!$C$31)</f>
        <v>30008.426445449444</v>
      </c>
      <c r="R142" s="21">
        <f>(R141*(1/'Emission Factors and Constants'!$A$9))*('Forecast Parameters'!R223*'Emission Factors and Constants'!$C$28+'Forecast Parameters'!R224*'Emission Factors and Constants'!$C$30+'Forecast Parameters'!R225*'Emission Factors and Constants'!$C$31)</f>
        <v>30008.426445449455</v>
      </c>
      <c r="S142" s="21">
        <f>(S141*(1/'Emission Factors and Constants'!$A$9))*('Forecast Parameters'!S223*'Emission Factors and Constants'!$C$28+'Forecast Parameters'!S224*'Emission Factors and Constants'!$C$30+'Forecast Parameters'!S225*'Emission Factors and Constants'!$C$31)</f>
        <v>30008.426445449455</v>
      </c>
      <c r="T142" s="21">
        <f>(T141*(1/'Emission Factors and Constants'!$A$9))*('Forecast Parameters'!T223*'Emission Factors and Constants'!$C$28+'Forecast Parameters'!T224*'Emission Factors and Constants'!$C$30+'Forecast Parameters'!T225*'Emission Factors and Constants'!$C$31)</f>
        <v>30008.426445449455</v>
      </c>
      <c r="U142" s="21">
        <f>(U141*(1/'Emission Factors and Constants'!$A$9))*('Forecast Parameters'!U223*'Emission Factors and Constants'!$C$28+'Forecast Parameters'!U224*'Emission Factors and Constants'!$C$30+'Forecast Parameters'!U225*'Emission Factors and Constants'!$C$31)</f>
        <v>30008.426445449455</v>
      </c>
      <c r="V142" s="21">
        <f>(V141*(1/'Emission Factors and Constants'!$A$9))*('Forecast Parameters'!V223*'Emission Factors and Constants'!$C$28+'Forecast Parameters'!V224*'Emission Factors and Constants'!$C$30+'Forecast Parameters'!V225*'Emission Factors and Constants'!$C$31)</f>
        <v>30008.426445449455</v>
      </c>
      <c r="W142" s="21">
        <f>(W141*(1/'Emission Factors and Constants'!$A$9))*('Forecast Parameters'!W223*'Emission Factors and Constants'!$C$28+'Forecast Parameters'!W224*'Emission Factors and Constants'!$C$30+'Forecast Parameters'!W225*'Emission Factors and Constants'!$C$31)</f>
        <v>30008.426445449455</v>
      </c>
      <c r="X142" s="21">
        <f>(X141*(1/'Emission Factors and Constants'!$A$9))*('Forecast Parameters'!X223*'Emission Factors and Constants'!$C$28+'Forecast Parameters'!X224*'Emission Factors and Constants'!$C$30+'Forecast Parameters'!X225*'Emission Factors and Constants'!$C$31)</f>
        <v>30008.426445449455</v>
      </c>
      <c r="Y142" s="21">
        <f>(Y141*(1/'Emission Factors and Constants'!$A$9))*('Forecast Parameters'!Y223*'Emission Factors and Constants'!$C$28+'Forecast Parameters'!Y224*'Emission Factors and Constants'!$C$30+'Forecast Parameters'!Y225*'Emission Factors and Constants'!$C$31)</f>
        <v>30008.426445449455</v>
      </c>
      <c r="Z142" s="21">
        <f>(Z141*(1/'Emission Factors and Constants'!$A$9))*('Forecast Parameters'!Z223*'Emission Factors and Constants'!$C$28+'Forecast Parameters'!Z224*'Emission Factors and Constants'!$C$30+'Forecast Parameters'!Z225*'Emission Factors and Constants'!$C$31)</f>
        <v>30008.426445449455</v>
      </c>
      <c r="AA142" s="21">
        <f>(AA141*(1/'Emission Factors and Constants'!$A$9))*('Forecast Parameters'!AA223*'Emission Factors and Constants'!$C$28+'Forecast Parameters'!AA224*'Emission Factors and Constants'!$C$30+'Forecast Parameters'!AA225*'Emission Factors and Constants'!$C$31)</f>
        <v>30008.426445449455</v>
      </c>
      <c r="AB142" s="21">
        <f>(AB141*(1/'Emission Factors and Constants'!$A$9))*('Forecast Parameters'!AB223*'Emission Factors and Constants'!$C$28+'Forecast Parameters'!AB224*'Emission Factors and Constants'!$C$30+'Forecast Parameters'!AB225*'Emission Factors and Constants'!$C$31)</f>
        <v>30008.426445449455</v>
      </c>
      <c r="AC142" s="21">
        <f>(AC141*(1/'Emission Factors and Constants'!$A$9))*('Forecast Parameters'!AC223*'Emission Factors and Constants'!$C$28+'Forecast Parameters'!AC224*'Emission Factors and Constants'!$C$30+'Forecast Parameters'!AC225*'Emission Factors and Constants'!$C$31)</f>
        <v>30008.426445449455</v>
      </c>
      <c r="AE142" s="264"/>
      <c r="AF142" s="270"/>
      <c r="AG142" s="270"/>
    </row>
    <row r="143" spans="1:33" x14ac:dyDescent="0.7">
      <c r="A143" s="526" t="s">
        <v>312</v>
      </c>
      <c r="B143" s="527"/>
      <c r="C143" s="527"/>
      <c r="D143" s="527"/>
      <c r="E143" s="527"/>
      <c r="F143" s="527"/>
      <c r="G143" s="527"/>
      <c r="H143" s="527"/>
      <c r="I143" s="527"/>
      <c r="J143" s="527"/>
      <c r="K143" s="527"/>
      <c r="L143" s="527"/>
      <c r="M143" s="527"/>
      <c r="N143" s="527"/>
      <c r="O143" s="527"/>
      <c r="P143" s="527"/>
      <c r="Q143" s="527"/>
      <c r="R143" s="527"/>
      <c r="S143" s="527"/>
      <c r="T143" s="527"/>
      <c r="U143" s="527"/>
      <c r="V143" s="527"/>
      <c r="W143" s="527"/>
      <c r="X143" s="527"/>
      <c r="Y143" s="527"/>
      <c r="Z143" s="527"/>
      <c r="AA143" s="527"/>
      <c r="AB143" s="527"/>
      <c r="AC143" s="528"/>
    </row>
    <row r="144" spans="1:33" x14ac:dyDescent="0.7">
      <c r="A144" s="271" t="s">
        <v>580</v>
      </c>
      <c r="B144" s="321"/>
      <c r="C144" s="321"/>
      <c r="D144" s="321"/>
      <c r="E144" s="321"/>
      <c r="F144" s="321"/>
      <c r="G144" s="321"/>
      <c r="H144" s="321"/>
      <c r="I144" s="321"/>
      <c r="J144" s="321"/>
      <c r="K144" s="321"/>
      <c r="L144" s="321"/>
      <c r="M144" s="321"/>
      <c r="N144" s="321"/>
      <c r="O144" s="321"/>
      <c r="P144" s="321"/>
      <c r="Q144" s="321"/>
      <c r="R144" s="321"/>
      <c r="S144" s="321"/>
      <c r="T144" s="321"/>
      <c r="U144" s="321"/>
      <c r="V144" s="321"/>
      <c r="W144" s="321"/>
      <c r="X144" s="321"/>
      <c r="Y144" s="321"/>
      <c r="Z144" s="321"/>
      <c r="AA144" s="321"/>
      <c r="AB144" s="321"/>
      <c r="AC144" s="322"/>
      <c r="AE144" s="264"/>
      <c r="AF144" s="270"/>
      <c r="AG144" s="270"/>
    </row>
    <row r="145" spans="1:33" x14ac:dyDescent="0.7">
      <c r="A145" s="319" t="s">
        <v>559</v>
      </c>
      <c r="B145" s="320">
        <f t="shared" ref="B145:AC145" si="58">B25</f>
        <v>0</v>
      </c>
      <c r="C145" s="320">
        <f t="shared" si="58"/>
        <v>3546748.3758096099</v>
      </c>
      <c r="D145" s="320">
        <f t="shared" si="58"/>
        <v>3546748.3758096695</v>
      </c>
      <c r="E145" s="320">
        <f t="shared" si="58"/>
        <v>3546748.3758096099</v>
      </c>
      <c r="F145" s="320">
        <f t="shared" si="58"/>
        <v>3546748.3758097291</v>
      </c>
      <c r="G145" s="320">
        <f t="shared" si="58"/>
        <v>3546748.3758096695</v>
      </c>
      <c r="H145" s="320">
        <f t="shared" si="58"/>
        <v>3546748.3758096099</v>
      </c>
      <c r="I145" s="320">
        <f t="shared" si="58"/>
        <v>3546748.3758096099</v>
      </c>
      <c r="J145" s="320">
        <f t="shared" si="58"/>
        <v>3546748.3758095503</v>
      </c>
      <c r="K145" s="320">
        <f t="shared" si="58"/>
        <v>3546748.3758096695</v>
      </c>
      <c r="L145" s="320">
        <f t="shared" si="58"/>
        <v>3546748.3758096695</v>
      </c>
      <c r="M145" s="320">
        <f t="shared" si="58"/>
        <v>3546748.3758095503</v>
      </c>
      <c r="N145" s="320">
        <f t="shared" si="58"/>
        <v>3546748.3758097887</v>
      </c>
      <c r="O145" s="320">
        <f t="shared" si="58"/>
        <v>3546748.3758095503</v>
      </c>
      <c r="P145" s="320">
        <f t="shared" si="58"/>
        <v>3546748.3758095503</v>
      </c>
      <c r="Q145" s="320">
        <f t="shared" si="58"/>
        <v>3546748.3758097887</v>
      </c>
      <c r="R145" s="320">
        <f t="shared" si="58"/>
        <v>3546748.3758095503</v>
      </c>
      <c r="S145" s="320">
        <f t="shared" si="58"/>
        <v>3546748.3758095503</v>
      </c>
      <c r="T145" s="320">
        <f t="shared" si="58"/>
        <v>3697522.8675824404</v>
      </c>
      <c r="U145" s="320">
        <f t="shared" si="58"/>
        <v>3721356.4998061657</v>
      </c>
      <c r="V145" s="320">
        <f t="shared" si="58"/>
        <v>3745343.7597544193</v>
      </c>
      <c r="W145" s="320">
        <f t="shared" si="58"/>
        <v>3769485.6376869678</v>
      </c>
      <c r="X145" s="320">
        <f t="shared" si="58"/>
        <v>3793783.1302458048</v>
      </c>
      <c r="Y145" s="320">
        <f t="shared" si="58"/>
        <v>3818237.2404975891</v>
      </c>
      <c r="Z145" s="320">
        <f t="shared" si="58"/>
        <v>3842848.9779750109</v>
      </c>
      <c r="AA145" s="320">
        <f t="shared" si="58"/>
        <v>3867619.3587168455</v>
      </c>
      <c r="AB145" s="320">
        <f t="shared" si="58"/>
        <v>3892549.4053125381</v>
      </c>
      <c r="AC145" s="320">
        <f t="shared" si="58"/>
        <v>3917640.1469419003</v>
      </c>
      <c r="AE145" s="264"/>
      <c r="AF145" s="270"/>
      <c r="AG145" s="270"/>
    </row>
    <row r="146" spans="1:33" x14ac:dyDescent="0.7">
      <c r="A146" s="319" t="s">
        <v>599</v>
      </c>
      <c r="B146" s="320">
        <f>B26</f>
        <v>0</v>
      </c>
      <c r="C146" s="320">
        <v>0</v>
      </c>
      <c r="D146" s="320">
        <v>0</v>
      </c>
      <c r="E146" s="320">
        <v>0</v>
      </c>
      <c r="F146" s="320">
        <v>0</v>
      </c>
      <c r="G146" s="320">
        <v>0</v>
      </c>
      <c r="H146" s="320">
        <v>0</v>
      </c>
      <c r="I146" s="320">
        <v>0</v>
      </c>
      <c r="J146" s="320">
        <v>0</v>
      </c>
      <c r="K146" s="320">
        <v>0</v>
      </c>
      <c r="L146" s="320">
        <v>0</v>
      </c>
      <c r="M146" s="320">
        <v>0</v>
      </c>
      <c r="N146" s="320">
        <v>0</v>
      </c>
      <c r="O146" s="320">
        <v>0</v>
      </c>
      <c r="P146" s="320">
        <v>0</v>
      </c>
      <c r="Q146" s="320">
        <f>C145</f>
        <v>3546748.3758096099</v>
      </c>
      <c r="R146" s="320">
        <f t="shared" ref="R146:AC146" si="59">D145</f>
        <v>3546748.3758096695</v>
      </c>
      <c r="S146" s="320">
        <f t="shared" si="59"/>
        <v>3546748.3758096099</v>
      </c>
      <c r="T146" s="320">
        <f t="shared" si="59"/>
        <v>3546748.3758097291</v>
      </c>
      <c r="U146" s="320">
        <f t="shared" si="59"/>
        <v>3546748.3758096695</v>
      </c>
      <c r="V146" s="320">
        <f t="shared" si="59"/>
        <v>3546748.3758096099</v>
      </c>
      <c r="W146" s="320">
        <f t="shared" si="59"/>
        <v>3546748.3758096099</v>
      </c>
      <c r="X146" s="320">
        <f t="shared" si="59"/>
        <v>3546748.3758095503</v>
      </c>
      <c r="Y146" s="320">
        <f t="shared" si="59"/>
        <v>3546748.3758096695</v>
      </c>
      <c r="Z146" s="320">
        <f t="shared" si="59"/>
        <v>3546748.3758096695</v>
      </c>
      <c r="AA146" s="320">
        <f t="shared" si="59"/>
        <v>3546748.3758095503</v>
      </c>
      <c r="AB146" s="320">
        <f t="shared" si="59"/>
        <v>3546748.3758097887</v>
      </c>
      <c r="AC146" s="320">
        <f t="shared" si="59"/>
        <v>3546748.3758095503</v>
      </c>
      <c r="AE146" s="264"/>
      <c r="AF146" s="270"/>
      <c r="AG146" s="270"/>
    </row>
    <row r="147" spans="1:33" x14ac:dyDescent="0.7">
      <c r="A147" s="170" t="s">
        <v>569</v>
      </c>
      <c r="B147" s="21">
        <f>B145*(1/$B$249)*$B$250*$B$251</f>
        <v>0</v>
      </c>
      <c r="C147" s="21">
        <f>(C145+C146)*(1/$B$249)*$B$250*$B$251</f>
        <v>591.12472930160163</v>
      </c>
      <c r="D147" s="21">
        <f t="shared" ref="D147:AC147" si="60">(D145+D146)*(1/$B$249)*$B$250*$B$251+C147</f>
        <v>1182.2494586032133</v>
      </c>
      <c r="E147" s="21">
        <f t="shared" si="60"/>
        <v>1773.3741879048148</v>
      </c>
      <c r="F147" s="21">
        <f t="shared" si="60"/>
        <v>2364.4989172064365</v>
      </c>
      <c r="G147" s="21">
        <f t="shared" si="60"/>
        <v>2955.6236465080483</v>
      </c>
      <c r="H147" s="21">
        <f t="shared" si="60"/>
        <v>3546.74837580965</v>
      </c>
      <c r="I147" s="21">
        <f t="shared" si="60"/>
        <v>4137.8731051112518</v>
      </c>
      <c r="J147" s="21">
        <f t="shared" si="60"/>
        <v>4728.9978344128431</v>
      </c>
      <c r="K147" s="21">
        <f t="shared" si="60"/>
        <v>5320.1225637144544</v>
      </c>
      <c r="L147" s="21">
        <f t="shared" si="60"/>
        <v>5911.2472930160657</v>
      </c>
      <c r="M147" s="21">
        <f t="shared" si="60"/>
        <v>6502.372022317657</v>
      </c>
      <c r="N147" s="21">
        <f t="shared" si="60"/>
        <v>7093.4967516192883</v>
      </c>
      <c r="O147" s="21">
        <f t="shared" si="60"/>
        <v>7684.6214809208795</v>
      </c>
      <c r="P147" s="21">
        <f t="shared" si="60"/>
        <v>8275.7462102224708</v>
      </c>
      <c r="Q147" s="21">
        <f t="shared" si="60"/>
        <v>9457.9956688257043</v>
      </c>
      <c r="R147" s="21">
        <f t="shared" si="60"/>
        <v>10640.245127428907</v>
      </c>
      <c r="S147" s="21">
        <f t="shared" si="60"/>
        <v>11822.4945860321</v>
      </c>
      <c r="T147" s="21">
        <f t="shared" si="60"/>
        <v>13029.873126597462</v>
      </c>
      <c r="U147" s="21">
        <f t="shared" si="60"/>
        <v>14241.223939200101</v>
      </c>
      <c r="V147" s="21">
        <f t="shared" si="60"/>
        <v>15456.572628460774</v>
      </c>
      <c r="W147" s="21">
        <f t="shared" si="60"/>
        <v>16675.944964043538</v>
      </c>
      <c r="X147" s="21">
        <f t="shared" si="60"/>
        <v>17899.36688171943</v>
      </c>
      <c r="Y147" s="21">
        <f t="shared" si="60"/>
        <v>19126.864484437308</v>
      </c>
      <c r="Z147" s="21">
        <f t="shared" si="60"/>
        <v>20358.464043401422</v>
      </c>
      <c r="AA147" s="21">
        <f t="shared" si="60"/>
        <v>21594.191999155821</v>
      </c>
      <c r="AB147" s="21">
        <f t="shared" si="60"/>
        <v>22834.074962676208</v>
      </c>
      <c r="AC147" s="21">
        <f t="shared" si="60"/>
        <v>24078.139716468118</v>
      </c>
      <c r="AE147" s="264"/>
      <c r="AF147" s="270"/>
      <c r="AG147" s="270"/>
    </row>
    <row r="148" spans="1:33" x14ac:dyDescent="0.7">
      <c r="A148" s="323" t="s">
        <v>571</v>
      </c>
      <c r="B148" s="324">
        <f>(B147*(1/'Emission Factors and Constants'!$A$9))*('Forecast Parameters'!B228*'Emission Factors and Constants'!$C$28+'Emission Factors and Constants'!$C$30*'Forecast Parameters'!B229+'Forecast Parameters'!B230*'Emission Factors and Constants'!$C$31)</f>
        <v>0</v>
      </c>
      <c r="C148" s="324">
        <f>(C147*(1/'Emission Factors and Constants'!$A$9))*('Forecast Parameters'!C228*'Emission Factors and Constants'!$C$28+'Emission Factors and Constants'!$C$29*'Forecast Parameters'!C229+'Forecast Parameters'!C230*'Emission Factors and Constants'!$C$31)</f>
        <v>768.46214809208209</v>
      </c>
      <c r="D148" s="324">
        <f>(D147*(1/'Emission Factors and Constants'!$A$9))*('Forecast Parameters'!D228*'Emission Factors and Constants'!$C$28+'Emission Factors and Constants'!$C$29*'Forecast Parameters'!D229+'Forecast Parameters'!D230*'Emission Factors and Constants'!$C$31)</f>
        <v>800.38288347437538</v>
      </c>
      <c r="E148" s="324">
        <f>(E147*(1/'Emission Factors and Constants'!$A$9))*('Forecast Parameters'!E228*'Emission Factors and Constants'!$C$28+'Emission Factors and Constants'!$C$29*'Forecast Parameters'!E229+'Forecast Parameters'!E230*'Emission Factors and Constants'!$C$31)</f>
        <v>1200.5743252115597</v>
      </c>
      <c r="F148" s="324">
        <f>(F147*(1/'Emission Factors and Constants'!$A$9))*('Forecast Parameters'!F228*'Emission Factors and Constants'!$C$28+'Emission Factors and Constants'!$C$29*'Forecast Parameters'!F229+'Forecast Parameters'!F230*'Emission Factors and Constants'!$C$31)</f>
        <v>1600.7657669487578</v>
      </c>
      <c r="G148" s="324">
        <f>(G147*(1/'Emission Factors and Constants'!$A$9))*('Forecast Parameters'!G228*'Emission Factors and Constants'!$C$28+'Emission Factors and Constants'!$C$29*'Forecast Parameters'!G229+'Forecast Parameters'!G230*'Emission Factors and Constants'!$C$31)</f>
        <v>2000.9572086859489</v>
      </c>
      <c r="H148" s="324">
        <f>(H147*(1/'Emission Factors and Constants'!$A$9))*('Forecast Parameters'!H228*'Emission Factors and Constants'!$C$28+'Emission Factors and Constants'!$C$29*'Forecast Parameters'!H229+'Forecast Parameters'!H230*'Emission Factors and Constants'!$C$31)</f>
        <v>2401.1486504231329</v>
      </c>
      <c r="I148" s="324">
        <f>(I147*(1/'Emission Factors and Constants'!$A$9))*('Forecast Parameters'!I228*'Emission Factors and Constants'!$C$28+'Emission Factors and Constants'!$C$29*'Forecast Parameters'!I229+'Forecast Parameters'!I230*'Emission Factors and Constants'!$C$31)</f>
        <v>2801.3400921603175</v>
      </c>
      <c r="J148" s="324">
        <f>(J147*(1/'Emission Factors and Constants'!$A$9))*('Forecast Parameters'!J228*'Emission Factors and Constants'!$C$28+'Emission Factors and Constants'!$C$29*'Forecast Parameters'!J229+'Forecast Parameters'!J230*'Emission Factors and Constants'!$C$31)</f>
        <v>3201.5315338974951</v>
      </c>
      <c r="K148" s="324">
        <f>(K147*(1/'Emission Factors and Constants'!$A$9))*('Forecast Parameters'!K228*'Emission Factors and Constants'!$C$28+'Emission Factors and Constants'!$C$29*'Forecast Parameters'!K229+'Forecast Parameters'!K230*'Emission Factors and Constants'!$C$31)</f>
        <v>3601.7229756346856</v>
      </c>
      <c r="L148" s="324">
        <f>(L147*(1/'Emission Factors and Constants'!$A$9))*('Forecast Parameters'!L228*'Emission Factors and Constants'!$C$28+'Emission Factors and Constants'!$C$29*'Forecast Parameters'!L229+'Forecast Parameters'!L230*'Emission Factors and Constants'!$C$31)</f>
        <v>4001.9144173718769</v>
      </c>
      <c r="M148" s="324">
        <f>(M147*(1/'Emission Factors and Constants'!$A$9))*('Forecast Parameters'!M228*'Emission Factors and Constants'!$C$28+'Emission Factors and Constants'!$C$29*'Forecast Parameters'!M229+'Forecast Parameters'!M230*'Emission Factors and Constants'!$C$31)</f>
        <v>4402.1058591090541</v>
      </c>
      <c r="N148" s="324">
        <f>(N147*(1/'Emission Factors and Constants'!$A$9))*('Forecast Parameters'!N228*'Emission Factors and Constants'!$C$28+'Emission Factors and Constants'!$C$29*'Forecast Parameters'!N229+'Forecast Parameters'!N230*'Emission Factors and Constants'!$C$31)</f>
        <v>4802.2973008462586</v>
      </c>
      <c r="O148" s="324">
        <f>(O147*(1/'Emission Factors and Constants'!$A$9))*('Forecast Parameters'!O228*'Emission Factors and Constants'!$C$28+'Emission Factors and Constants'!$C$29*'Forecast Parameters'!O229+'Forecast Parameters'!O230*'Emission Factors and Constants'!$C$31)</f>
        <v>5202.4887425834359</v>
      </c>
      <c r="P148" s="324">
        <f>(P147*(1/'Emission Factors and Constants'!$A$9))*('Forecast Parameters'!P228*'Emission Factors and Constants'!$C$28+'Emission Factors and Constants'!$C$29*'Forecast Parameters'!P229+'Forecast Parameters'!P230*'Emission Factors and Constants'!$C$31)</f>
        <v>5602.6801843206122</v>
      </c>
      <c r="Q148" s="324">
        <f>(Q147*(1/'Emission Factors and Constants'!$A$9))*('Forecast Parameters'!Q228*'Emission Factors and Constants'!$C$28+'Emission Factors and Constants'!$C$29*'Forecast Parameters'!Q229+'Forecast Parameters'!Q230*'Emission Factors and Constants'!$C$31)</f>
        <v>6403.0630677950021</v>
      </c>
      <c r="R148" s="324">
        <f>(R147*(1/'Emission Factors and Constants'!$A$9))*('Forecast Parameters'!R228*'Emission Factors and Constants'!$C$28+'Emission Factors and Constants'!$C$29*'Forecast Parameters'!R229+'Forecast Parameters'!R230*'Emission Factors and Constants'!$C$31)</f>
        <v>7203.4459512693702</v>
      </c>
      <c r="S148" s="324">
        <f>(S147*(1/'Emission Factors and Constants'!$A$9))*('Forecast Parameters'!S228*'Emission Factors and Constants'!$C$28+'Emission Factors and Constants'!$C$29*'Forecast Parameters'!S229+'Forecast Parameters'!S230*'Emission Factors and Constants'!$C$31)</f>
        <v>8003.8288347437319</v>
      </c>
      <c r="T148" s="324">
        <f>(T147*(1/'Emission Factors and Constants'!$A$9))*('Forecast Parameters'!T228*'Emission Factors and Constants'!$C$28+'Emission Factors and Constants'!$C$29*'Forecast Parameters'!T229+'Forecast Parameters'!T230*'Emission Factors and Constants'!$C$31)</f>
        <v>8821.2241067064824</v>
      </c>
      <c r="U148" s="324">
        <f>(U147*(1/'Emission Factors and Constants'!$A$9))*('Forecast Parameters'!U228*'Emission Factors and Constants'!$C$28+'Emission Factors and Constants'!$C$29*'Forecast Parameters'!U229+'Forecast Parameters'!U230*'Emission Factors and Constants'!$C$31)</f>
        <v>9641.3086068384673</v>
      </c>
      <c r="V148" s="324">
        <f>(V147*(1/'Emission Factors and Constants'!$A$9))*('Forecast Parameters'!V228*'Emission Factors and Constants'!$C$28+'Emission Factors and Constants'!$C$29*'Forecast Parameters'!V229+'Forecast Parameters'!V230*'Emission Factors and Constants'!$C$31)</f>
        <v>10464.099669467945</v>
      </c>
      <c r="W148" s="324">
        <f>(W147*(1/'Emission Factors and Constants'!$A$9))*('Forecast Parameters'!W228*'Emission Factors and Constants'!$C$28+'Emission Factors and Constants'!$C$29*'Forecast Parameters'!W229+'Forecast Parameters'!W230*'Emission Factors and Constants'!$C$31)</f>
        <v>11289.614740657475</v>
      </c>
      <c r="X148" s="324">
        <f>(X147*(1/'Emission Factors and Constants'!$A$9))*('Forecast Parameters'!X228*'Emission Factors and Constants'!$C$28+'Emission Factors and Constants'!$C$29*'Forecast Parameters'!X229+'Forecast Parameters'!X230*'Emission Factors and Constants'!$C$31)</f>
        <v>12117.871378924054</v>
      </c>
      <c r="Y148" s="324">
        <f>(Y147*(1/'Emission Factors and Constants'!$A$9))*('Forecast Parameters'!Y228*'Emission Factors and Constants'!$C$28+'Emission Factors and Constants'!$C$29*'Forecast Parameters'!Y229+'Forecast Parameters'!Y230*'Emission Factors and Constants'!$C$31)</f>
        <v>12948.887255964059</v>
      </c>
      <c r="Z148" s="324">
        <f>(Z147*(1/'Emission Factors and Constants'!$A$9))*('Forecast Parameters'!Z228*'Emission Factors and Constants'!$C$28+'Emission Factors and Constants'!$C$29*'Forecast Parameters'!Z229+'Forecast Parameters'!Z230*'Emission Factors and Constants'!$C$31)</f>
        <v>13782.680157382763</v>
      </c>
      <c r="AA148" s="324">
        <f>(AA147*(1/'Emission Factors and Constants'!$A$9))*('Forecast Parameters'!AA228*'Emission Factors and Constants'!$C$28+'Emission Factors and Constants'!$C$29*'Forecast Parameters'!AA229+'Forecast Parameters'!AA230*'Emission Factors and Constants'!$C$31)</f>
        <v>14619.267983428492</v>
      </c>
      <c r="AB148" s="324">
        <f>(AB147*(1/'Emission Factors and Constants'!$A$9))*('Forecast Parameters'!AB228*'Emission Factors and Constants'!$C$28+'Emission Factors and Constants'!$C$29*'Forecast Parameters'!AB229+'Forecast Parameters'!AB230*'Emission Factors and Constants'!$C$31)</f>
        <v>15458.668749731793</v>
      </c>
      <c r="AC148" s="324">
        <f>(AC147*(1/'Emission Factors and Constants'!$A$9))*('Forecast Parameters'!AC228*'Emission Factors and Constants'!$C$28+'Emission Factors and Constants'!$C$29*'Forecast Parameters'!AC229+'Forecast Parameters'!AC230*'Emission Factors and Constants'!$C$31)</f>
        <v>16300.900588048917</v>
      </c>
      <c r="AE148" s="264"/>
      <c r="AF148" s="270"/>
      <c r="AG148" s="270"/>
    </row>
    <row r="149" spans="1:33" x14ac:dyDescent="0.7">
      <c r="A149" s="271" t="s">
        <v>581</v>
      </c>
      <c r="B149" s="321"/>
      <c r="C149" s="321"/>
      <c r="D149" s="321"/>
      <c r="E149" s="321"/>
      <c r="F149" s="321"/>
      <c r="G149" s="321"/>
      <c r="H149" s="321"/>
      <c r="I149" s="321"/>
      <c r="J149" s="321"/>
      <c r="K149" s="321"/>
      <c r="L149" s="321"/>
      <c r="M149" s="321"/>
      <c r="N149" s="321"/>
      <c r="O149" s="321"/>
      <c r="P149" s="321"/>
      <c r="Q149" s="321"/>
      <c r="R149" s="321"/>
      <c r="S149" s="321"/>
      <c r="T149" s="321"/>
      <c r="U149" s="321"/>
      <c r="V149" s="321"/>
      <c r="W149" s="321"/>
      <c r="X149" s="321"/>
      <c r="Y149" s="321"/>
      <c r="Z149" s="321"/>
      <c r="AA149" s="321"/>
      <c r="AB149" s="321"/>
      <c r="AC149" s="322"/>
      <c r="AE149" s="264"/>
      <c r="AF149" s="270"/>
      <c r="AG149" s="270"/>
    </row>
    <row r="150" spans="1:33" x14ac:dyDescent="0.7">
      <c r="A150" s="319" t="s">
        <v>598</v>
      </c>
      <c r="B150" s="320">
        <v>0</v>
      </c>
      <c r="C150" s="320">
        <f>'Forecast Parameters'!$C$56</f>
        <v>152404340.67012218</v>
      </c>
      <c r="D150" s="320">
        <f>'Forecast Parameters'!$C$56</f>
        <v>152404340.67012218</v>
      </c>
      <c r="E150" s="320">
        <f>'Forecast Parameters'!$C$56</f>
        <v>152404340.67012218</v>
      </c>
      <c r="F150" s="320">
        <f>'Forecast Parameters'!$C$56</f>
        <v>152404340.67012218</v>
      </c>
      <c r="G150" s="320">
        <f>'Forecast Parameters'!$C$56</f>
        <v>152404340.67012218</v>
      </c>
      <c r="H150" s="320">
        <f>'Forecast Parameters'!$C$56</f>
        <v>152404340.67012218</v>
      </c>
      <c r="I150" s="320">
        <f>'Forecast Parameters'!$C$56</f>
        <v>152404340.67012218</v>
      </c>
      <c r="J150" s="320">
        <f>'Forecast Parameters'!$C$56</f>
        <v>152404340.67012218</v>
      </c>
      <c r="K150" s="320">
        <f>'Forecast Parameters'!$C$56</f>
        <v>152404340.67012218</v>
      </c>
      <c r="L150" s="320">
        <f>'Forecast Parameters'!$C$56</f>
        <v>152404340.67012218</v>
      </c>
      <c r="M150" s="320">
        <f>'Forecast Parameters'!$C$56</f>
        <v>152404340.67012218</v>
      </c>
      <c r="N150" s="320">
        <f>'Forecast Parameters'!$C$56</f>
        <v>152404340.67012218</v>
      </c>
      <c r="O150" s="320">
        <f>'Forecast Parameters'!$C$56</f>
        <v>152404340.67012218</v>
      </c>
      <c r="P150" s="320">
        <f>'Forecast Parameters'!$C$56</f>
        <v>152404340.67012218</v>
      </c>
      <c r="Q150" s="320">
        <f>'Forecast Parameters'!$C$56</f>
        <v>152404340.67012218</v>
      </c>
      <c r="R150" s="320">
        <f>'Forecast Parameters'!$C$56</f>
        <v>152404340.67012218</v>
      </c>
      <c r="S150" s="320">
        <f>'Forecast Parameters'!$C$56</f>
        <v>152404340.67012218</v>
      </c>
      <c r="T150" s="320">
        <f>'Forecast Parameters'!$C$56</f>
        <v>152404340.67012218</v>
      </c>
      <c r="U150" s="320">
        <f>'Forecast Parameters'!$C$56</f>
        <v>152404340.67012218</v>
      </c>
      <c r="V150" s="320">
        <f>'Forecast Parameters'!$C$56</f>
        <v>152404340.67012218</v>
      </c>
      <c r="W150" s="320">
        <f>'Forecast Parameters'!$C$56</f>
        <v>152404340.67012218</v>
      </c>
      <c r="X150" s="320">
        <f>'Forecast Parameters'!$C$56</f>
        <v>152404340.67012218</v>
      </c>
      <c r="Y150" s="320">
        <f>'Forecast Parameters'!$C$56</f>
        <v>152404340.67012218</v>
      </c>
      <c r="Z150" s="320">
        <f>'Forecast Parameters'!$C$56</f>
        <v>152404340.67012218</v>
      </c>
      <c r="AA150" s="320">
        <f>'Forecast Parameters'!$C$56</f>
        <v>152404340.67012218</v>
      </c>
      <c r="AB150" s="320">
        <f>'Forecast Parameters'!$C$56</f>
        <v>152404340.67012218</v>
      </c>
      <c r="AC150" s="320">
        <f>'Forecast Parameters'!$C$56</f>
        <v>152404340.67012218</v>
      </c>
      <c r="AE150" s="264"/>
      <c r="AF150" s="270"/>
      <c r="AG150" s="270"/>
    </row>
    <row r="151" spans="1:33" x14ac:dyDescent="0.7">
      <c r="A151" s="170" t="s">
        <v>569</v>
      </c>
      <c r="B151" s="21">
        <f>B150*(1/$B$249)*$B$250*$B$251</f>
        <v>0</v>
      </c>
      <c r="C151" s="21">
        <f>(C150*$B$248)*(1/$B$249)*$B$250*$B$251</f>
        <v>20320.578756016293</v>
      </c>
      <c r="D151" s="21">
        <f t="shared" ref="D151:AC151" si="61">(D150*$B$248)*(1/$B$249)*$B$250*$B$251</f>
        <v>20320.578756016293</v>
      </c>
      <c r="E151" s="21">
        <f t="shared" si="61"/>
        <v>20320.578756016293</v>
      </c>
      <c r="F151" s="21">
        <f t="shared" si="61"/>
        <v>20320.578756016293</v>
      </c>
      <c r="G151" s="21">
        <f t="shared" si="61"/>
        <v>20320.578756016293</v>
      </c>
      <c r="H151" s="21">
        <f t="shared" si="61"/>
        <v>20320.578756016293</v>
      </c>
      <c r="I151" s="21">
        <f t="shared" si="61"/>
        <v>20320.578756016293</v>
      </c>
      <c r="J151" s="21">
        <f t="shared" si="61"/>
        <v>20320.578756016293</v>
      </c>
      <c r="K151" s="21">
        <f t="shared" si="61"/>
        <v>20320.578756016293</v>
      </c>
      <c r="L151" s="21">
        <f t="shared" si="61"/>
        <v>20320.578756016293</v>
      </c>
      <c r="M151" s="21">
        <f t="shared" si="61"/>
        <v>20320.578756016293</v>
      </c>
      <c r="N151" s="21">
        <f t="shared" si="61"/>
        <v>20320.578756016293</v>
      </c>
      <c r="O151" s="21">
        <f t="shared" si="61"/>
        <v>20320.578756016293</v>
      </c>
      <c r="P151" s="21">
        <f t="shared" si="61"/>
        <v>20320.578756016293</v>
      </c>
      <c r="Q151" s="21">
        <f t="shared" si="61"/>
        <v>20320.578756016293</v>
      </c>
      <c r="R151" s="21">
        <f t="shared" si="61"/>
        <v>20320.578756016293</v>
      </c>
      <c r="S151" s="21">
        <f t="shared" si="61"/>
        <v>20320.578756016293</v>
      </c>
      <c r="T151" s="21">
        <f t="shared" si="61"/>
        <v>20320.578756016293</v>
      </c>
      <c r="U151" s="21">
        <f t="shared" si="61"/>
        <v>20320.578756016293</v>
      </c>
      <c r="V151" s="21">
        <f t="shared" si="61"/>
        <v>20320.578756016293</v>
      </c>
      <c r="W151" s="21">
        <f t="shared" si="61"/>
        <v>20320.578756016293</v>
      </c>
      <c r="X151" s="21">
        <f t="shared" si="61"/>
        <v>20320.578756016293</v>
      </c>
      <c r="Y151" s="21">
        <f t="shared" si="61"/>
        <v>20320.578756016293</v>
      </c>
      <c r="Z151" s="21">
        <f t="shared" si="61"/>
        <v>20320.578756016293</v>
      </c>
      <c r="AA151" s="21">
        <f t="shared" si="61"/>
        <v>20320.578756016293</v>
      </c>
      <c r="AB151" s="21">
        <f t="shared" si="61"/>
        <v>20320.578756016293</v>
      </c>
      <c r="AC151" s="21">
        <f t="shared" si="61"/>
        <v>20320.578756016293</v>
      </c>
      <c r="AE151" s="264"/>
      <c r="AF151" s="270"/>
      <c r="AG151" s="270"/>
    </row>
    <row r="152" spans="1:33" x14ac:dyDescent="0.7">
      <c r="A152" s="170" t="s">
        <v>571</v>
      </c>
      <c r="B152" s="21">
        <f>(B151*(1/'Emission Factors and Constants'!$A$9))*('Forecast Parameters'!B223*'Emission Factors and Constants'!$C$28+'Emission Factors and Constants'!$C$30*'Forecast Parameters'!B224+'Forecast Parameters'!B225*'Emission Factors and Constants'!$C$31)</f>
        <v>0</v>
      </c>
      <c r="C152" s="21">
        <f>(C151*(1/'Emission Factors and Constants'!$A$9))*('Forecast Parameters'!C223*'Emission Factors and Constants'!$C$28+'Emission Factors and Constants'!$C$29*'Forecast Parameters'!C224+'Forecast Parameters'!C225*'Emission Factors and Constants'!$C$31)</f>
        <v>26416.752382821182</v>
      </c>
      <c r="D152" s="21">
        <f>(D151*(1/'Emission Factors and Constants'!$A$9))*('Forecast Parameters'!D223*'Emission Factors and Constants'!$C$28+'Emission Factors and Constants'!$C$29*'Forecast Parameters'!D224+'Forecast Parameters'!D225*'Emission Factors and Constants'!$C$31)</f>
        <v>25512.486628178456</v>
      </c>
      <c r="E152" s="21">
        <f>(E151*(1/'Emission Factors and Constants'!$A$9))*('Forecast Parameters'!E223*'Emission Factors and Constants'!$C$28+'Emission Factors and Constants'!$C$29*'Forecast Parameters'!E224+'Forecast Parameters'!E225*'Emission Factors and Constants'!$C$31)</f>
        <v>24608.220873535734</v>
      </c>
      <c r="F152" s="21">
        <f>(F151*(1/'Emission Factors and Constants'!$A$9))*('Forecast Parameters'!F223*'Emission Factors and Constants'!$C$28+'Emission Factors and Constants'!$C$29*'Forecast Parameters'!F224+'Forecast Parameters'!F225*'Emission Factors and Constants'!$C$31)</f>
        <v>23703.955118893005</v>
      </c>
      <c r="G152" s="21">
        <f>(G151*(1/'Emission Factors and Constants'!$A$9))*('Forecast Parameters'!G223*'Emission Factors and Constants'!$C$28+'Emission Factors and Constants'!$C$29*'Forecast Parameters'!G224+'Forecast Parameters'!G225*'Emission Factors and Constants'!$C$31)</f>
        <v>22799.68936425028</v>
      </c>
      <c r="H152" s="21">
        <f>(H151*(1/'Emission Factors and Constants'!$A$9))*('Forecast Parameters'!H223*'Emission Factors and Constants'!$C$28+'Emission Factors and Constants'!$C$29*'Forecast Parameters'!H224+'Forecast Parameters'!H225*'Emission Factors and Constants'!$C$31)</f>
        <v>21895.423609607555</v>
      </c>
      <c r="I152" s="21">
        <f>(I151*(1/'Emission Factors and Constants'!$A$9))*('Forecast Parameters'!I223*'Emission Factors and Constants'!$C$28+'Emission Factors and Constants'!$C$29*'Forecast Parameters'!I224+'Forecast Parameters'!I225*'Emission Factors and Constants'!$C$31)</f>
        <v>20991.157854964829</v>
      </c>
      <c r="J152" s="21">
        <f>(J151*(1/'Emission Factors and Constants'!$A$9))*('Forecast Parameters'!J223*'Emission Factors and Constants'!$C$28+'Emission Factors and Constants'!$C$29*'Forecast Parameters'!J224+'Forecast Parameters'!J225*'Emission Factors and Constants'!$C$31)</f>
        <v>20086.892100322104</v>
      </c>
      <c r="K152" s="21">
        <f>(K151*(1/'Emission Factors and Constants'!$A$9))*('Forecast Parameters'!K223*'Emission Factors and Constants'!$C$28+'Emission Factors and Constants'!$C$29*'Forecast Parameters'!K224+'Forecast Parameters'!K225*'Emission Factors and Constants'!$C$31)</f>
        <v>19182.626345679382</v>
      </c>
      <c r="L152" s="21">
        <f>(L151*(1/'Emission Factors and Constants'!$A$9))*('Forecast Parameters'!L223*'Emission Factors and Constants'!$C$28+'Emission Factors and Constants'!$C$29*'Forecast Parameters'!L224+'Forecast Parameters'!L225*'Emission Factors and Constants'!$C$31)</f>
        <v>18278.360591036657</v>
      </c>
      <c r="M152" s="21">
        <f>(M151*(1/'Emission Factors and Constants'!$A$9))*('Forecast Parameters'!M223*'Emission Factors and Constants'!$C$28+'Emission Factors and Constants'!$C$29*'Forecast Parameters'!M224+'Forecast Parameters'!M225*'Emission Factors and Constants'!$C$31)</f>
        <v>17374.094836393931</v>
      </c>
      <c r="N152" s="21">
        <f>(N151*(1/'Emission Factors and Constants'!$A$9))*('Forecast Parameters'!N223*'Emission Factors and Constants'!$C$28+'Emission Factors and Constants'!$C$29*'Forecast Parameters'!N224+'Forecast Parameters'!N225*'Emission Factors and Constants'!$C$31)</f>
        <v>16469.829081751206</v>
      </c>
      <c r="O152" s="21">
        <f>(O151*(1/'Emission Factors and Constants'!$A$9))*('Forecast Parameters'!O223*'Emission Factors and Constants'!$C$28+'Emission Factors and Constants'!$C$29*'Forecast Parameters'!O224+'Forecast Parameters'!O225*'Emission Factors and Constants'!$C$31)</f>
        <v>15565.563327108484</v>
      </c>
      <c r="P152" s="21">
        <f>(P151*(1/'Emission Factors and Constants'!$A$9))*('Forecast Parameters'!P223*'Emission Factors and Constants'!$C$28+'Emission Factors and Constants'!$C$29*'Forecast Parameters'!P224+'Forecast Parameters'!P225*'Emission Factors and Constants'!$C$31)</f>
        <v>14661.297572465757</v>
      </c>
      <c r="Q152" s="21">
        <f>(Q151*(1/'Emission Factors and Constants'!$A$9))*('Forecast Parameters'!Q223*'Emission Factors and Constants'!$C$28+'Emission Factors and Constants'!$C$29*'Forecast Parameters'!Q224+'Forecast Parameters'!Q225*'Emission Factors and Constants'!$C$31)</f>
        <v>13757.031817823025</v>
      </c>
      <c r="R152" s="21">
        <f>(R151*(1/'Emission Factors and Constants'!$A$9))*('Forecast Parameters'!R223*'Emission Factors and Constants'!$C$28+'Emission Factors and Constants'!$C$29*'Forecast Parameters'!R224+'Forecast Parameters'!R225*'Emission Factors and Constants'!$C$31)</f>
        <v>13757.03181782303</v>
      </c>
      <c r="S152" s="21">
        <f>(S151*(1/'Emission Factors and Constants'!$A$9))*('Forecast Parameters'!S223*'Emission Factors and Constants'!$C$28+'Emission Factors and Constants'!$C$29*'Forecast Parameters'!S224+'Forecast Parameters'!S225*'Emission Factors and Constants'!$C$31)</f>
        <v>13757.03181782303</v>
      </c>
      <c r="T152" s="21">
        <f>(T151*(1/'Emission Factors and Constants'!$A$9))*('Forecast Parameters'!T223*'Emission Factors and Constants'!$C$28+'Emission Factors and Constants'!$C$29*'Forecast Parameters'!T224+'Forecast Parameters'!T225*'Emission Factors and Constants'!$C$31)</f>
        <v>13757.03181782303</v>
      </c>
      <c r="U152" s="21">
        <f>(U151*(1/'Emission Factors and Constants'!$A$9))*('Forecast Parameters'!U223*'Emission Factors and Constants'!$C$28+'Emission Factors and Constants'!$C$29*'Forecast Parameters'!U224+'Forecast Parameters'!U225*'Emission Factors and Constants'!$C$31)</f>
        <v>13757.03181782303</v>
      </c>
      <c r="V152" s="21">
        <f>(V151*(1/'Emission Factors and Constants'!$A$9))*('Forecast Parameters'!V223*'Emission Factors and Constants'!$C$28+'Emission Factors and Constants'!$C$29*'Forecast Parameters'!V224+'Forecast Parameters'!V225*'Emission Factors and Constants'!$C$31)</f>
        <v>13757.03181782303</v>
      </c>
      <c r="W152" s="21">
        <f>(W151*(1/'Emission Factors and Constants'!$A$9))*('Forecast Parameters'!W223*'Emission Factors and Constants'!$C$28+'Emission Factors and Constants'!$C$29*'Forecast Parameters'!W224+'Forecast Parameters'!W225*'Emission Factors and Constants'!$C$31)</f>
        <v>13757.03181782303</v>
      </c>
      <c r="X152" s="21">
        <f>(X151*(1/'Emission Factors and Constants'!$A$9))*('Forecast Parameters'!X223*'Emission Factors and Constants'!$C$28+'Emission Factors and Constants'!$C$29*'Forecast Parameters'!X224+'Forecast Parameters'!X225*'Emission Factors and Constants'!$C$31)</f>
        <v>13757.03181782303</v>
      </c>
      <c r="Y152" s="21">
        <f>(Y151*(1/'Emission Factors and Constants'!$A$9))*('Forecast Parameters'!Y223*'Emission Factors and Constants'!$C$28+'Emission Factors and Constants'!$C$29*'Forecast Parameters'!Y224+'Forecast Parameters'!Y225*'Emission Factors and Constants'!$C$31)</f>
        <v>13757.03181782303</v>
      </c>
      <c r="Z152" s="21">
        <f>(Z151*(1/'Emission Factors and Constants'!$A$9))*('Forecast Parameters'!Z223*'Emission Factors and Constants'!$C$28+'Emission Factors and Constants'!$C$29*'Forecast Parameters'!Z224+'Forecast Parameters'!Z225*'Emission Factors and Constants'!$C$31)</f>
        <v>13757.03181782303</v>
      </c>
      <c r="AA152" s="21">
        <f>(AA151*(1/'Emission Factors and Constants'!$A$9))*('Forecast Parameters'!AA223*'Emission Factors and Constants'!$C$28+'Emission Factors and Constants'!$C$29*'Forecast Parameters'!AA224+'Forecast Parameters'!AA225*'Emission Factors and Constants'!$C$31)</f>
        <v>13757.03181782303</v>
      </c>
      <c r="AB152" s="21">
        <f>(AB151*(1/'Emission Factors and Constants'!$A$9))*('Forecast Parameters'!AB223*'Emission Factors and Constants'!$C$28+'Emission Factors and Constants'!$C$29*'Forecast Parameters'!AB224+'Forecast Parameters'!AB225*'Emission Factors and Constants'!$C$31)</f>
        <v>13757.03181782303</v>
      </c>
      <c r="AC152" s="21">
        <f>(AC151*(1/'Emission Factors and Constants'!$A$9))*('Forecast Parameters'!AC223*'Emission Factors and Constants'!$C$28+'Emission Factors and Constants'!$C$29*'Forecast Parameters'!AC224+'Forecast Parameters'!AC225*'Emission Factors and Constants'!$C$31)</f>
        <v>13757.03181782303</v>
      </c>
      <c r="AE152" s="264"/>
      <c r="AF152" s="270"/>
      <c r="AG152" s="270"/>
    </row>
    <row r="153" spans="1:33" x14ac:dyDescent="0.7">
      <c r="A153" s="526" t="s">
        <v>138</v>
      </c>
      <c r="B153" s="527"/>
      <c r="C153" s="527"/>
      <c r="D153" s="527"/>
      <c r="E153" s="527"/>
      <c r="F153" s="527"/>
      <c r="G153" s="527"/>
      <c r="H153" s="527"/>
      <c r="I153" s="527"/>
      <c r="J153" s="527"/>
      <c r="K153" s="527"/>
      <c r="L153" s="527"/>
      <c r="M153" s="527"/>
      <c r="N153" s="527"/>
      <c r="O153" s="527"/>
      <c r="P153" s="527"/>
      <c r="Q153" s="527"/>
      <c r="R153" s="527"/>
      <c r="S153" s="527"/>
      <c r="T153" s="527"/>
      <c r="U153" s="527"/>
      <c r="V153" s="527"/>
      <c r="W153" s="527"/>
      <c r="X153" s="527"/>
      <c r="Y153" s="527"/>
      <c r="Z153" s="527"/>
      <c r="AA153" s="527"/>
      <c r="AB153" s="527"/>
      <c r="AC153" s="528"/>
    </row>
    <row r="154" spans="1:33" x14ac:dyDescent="0.7">
      <c r="A154" s="170" t="s">
        <v>340</v>
      </c>
      <c r="B154" s="21">
        <f t="shared" ref="B154:AC154" si="62">B138+B142</f>
        <v>0</v>
      </c>
      <c r="C154" s="21">
        <f>C138+C142</f>
        <v>85564.787098418761</v>
      </c>
      <c r="D154" s="21">
        <f t="shared" si="62"/>
        <v>81528.068803849907</v>
      </c>
      <c r="E154" s="21">
        <f t="shared" si="62"/>
        <v>77688.683744192182</v>
      </c>
      <c r="F154" s="21">
        <f t="shared" si="62"/>
        <v>73849.298655277191</v>
      </c>
      <c r="G154" s="21">
        <f t="shared" si="62"/>
        <v>70009.91359561948</v>
      </c>
      <c r="H154" s="21">
        <f t="shared" si="62"/>
        <v>66170.528535961756</v>
      </c>
      <c r="I154" s="21">
        <f t="shared" si="62"/>
        <v>62331.143476304045</v>
      </c>
      <c r="J154" s="21">
        <f t="shared" si="62"/>
        <v>58491.758387389062</v>
      </c>
      <c r="K154" s="21">
        <f t="shared" si="62"/>
        <v>54652.373327731337</v>
      </c>
      <c r="L154" s="21">
        <f t="shared" si="62"/>
        <v>50812.988268073619</v>
      </c>
      <c r="M154" s="21">
        <f t="shared" si="62"/>
        <v>46973.603208415909</v>
      </c>
      <c r="N154" s="21">
        <f t="shared" si="62"/>
        <v>43134.218148758191</v>
      </c>
      <c r="O154" s="21">
        <f t="shared" si="62"/>
        <v>39294.833059843215</v>
      </c>
      <c r="P154" s="21">
        <f t="shared" si="62"/>
        <v>35455.44800018549</v>
      </c>
      <c r="Q154" s="21">
        <f t="shared" si="62"/>
        <v>31723.238712717754</v>
      </c>
      <c r="R154" s="21">
        <f t="shared" si="62"/>
        <v>31937.590257097774</v>
      </c>
      <c r="S154" s="21">
        <f t="shared" si="62"/>
        <v>32151.941772220525</v>
      </c>
      <c r="T154" s="21">
        <f t="shared" si="62"/>
        <v>32370.941592702562</v>
      </c>
      <c r="U154" s="21">
        <f t="shared" si="62"/>
        <v>32590.669597075826</v>
      </c>
      <c r="V154" s="21">
        <f t="shared" si="62"/>
        <v>32811.130437244326</v>
      </c>
      <c r="W154" s="21">
        <f t="shared" si="62"/>
        <v>33032.328940655614</v>
      </c>
      <c r="X154" s="21">
        <f t="shared" si="62"/>
        <v>33254.26987624271</v>
      </c>
      <c r="Y154" s="21">
        <f t="shared" si="62"/>
        <v>33476.958100710435</v>
      </c>
      <c r="Z154" s="21">
        <f t="shared" si="62"/>
        <v>33700.398470763583</v>
      </c>
      <c r="AA154" s="21">
        <f t="shared" si="62"/>
        <v>33924.595901621491</v>
      </c>
      <c r="AB154" s="21">
        <f t="shared" si="62"/>
        <v>34149.555308503477</v>
      </c>
      <c r="AC154" s="21">
        <f t="shared" si="62"/>
        <v>34375.281606628858</v>
      </c>
      <c r="AE154" s="264"/>
      <c r="AF154" s="270"/>
      <c r="AG154" s="270"/>
    </row>
    <row r="155" spans="1:33" x14ac:dyDescent="0.7">
      <c r="A155" s="170" t="s">
        <v>312</v>
      </c>
      <c r="B155" s="21">
        <f t="shared" ref="B155:AC155" si="63">B148+B152</f>
        <v>0</v>
      </c>
      <c r="C155" s="21">
        <f t="shared" si="63"/>
        <v>27185.214530913265</v>
      </c>
      <c r="D155" s="21">
        <f t="shared" si="63"/>
        <v>26312.869511652832</v>
      </c>
      <c r="E155" s="21">
        <f t="shared" si="63"/>
        <v>25808.795198747295</v>
      </c>
      <c r="F155" s="21">
        <f t="shared" si="63"/>
        <v>25304.720885841762</v>
      </c>
      <c r="G155" s="21">
        <f t="shared" si="63"/>
        <v>24800.646572936228</v>
      </c>
      <c r="H155" s="21">
        <f t="shared" si="63"/>
        <v>24296.572260030687</v>
      </c>
      <c r="I155" s="21">
        <f t="shared" si="63"/>
        <v>23792.497947125146</v>
      </c>
      <c r="J155" s="21">
        <f t="shared" si="63"/>
        <v>23288.423634219598</v>
      </c>
      <c r="K155" s="21">
        <f t="shared" si="63"/>
        <v>22784.349321314068</v>
      </c>
      <c r="L155" s="21">
        <f t="shared" si="63"/>
        <v>22280.275008408535</v>
      </c>
      <c r="M155" s="21">
        <f t="shared" si="63"/>
        <v>21776.200695502986</v>
      </c>
      <c r="N155" s="21">
        <f t="shared" si="63"/>
        <v>21272.126382597464</v>
      </c>
      <c r="O155" s="21">
        <f t="shared" si="63"/>
        <v>20768.052069691919</v>
      </c>
      <c r="P155" s="21">
        <f t="shared" si="63"/>
        <v>20263.977756786371</v>
      </c>
      <c r="Q155" s="21">
        <f t="shared" si="63"/>
        <v>20160.094885618026</v>
      </c>
      <c r="R155" s="21">
        <f t="shared" si="63"/>
        <v>20960.477769092402</v>
      </c>
      <c r="S155" s="21">
        <f t="shared" si="63"/>
        <v>21760.860652566764</v>
      </c>
      <c r="T155" s="21">
        <f t="shared" si="63"/>
        <v>22578.255924529512</v>
      </c>
      <c r="U155" s="21">
        <f t="shared" si="63"/>
        <v>23398.340424661495</v>
      </c>
      <c r="V155" s="21">
        <f t="shared" si="63"/>
        <v>24221.131487290975</v>
      </c>
      <c r="W155" s="21">
        <f t="shared" si="63"/>
        <v>25046.646558480505</v>
      </c>
      <c r="X155" s="21">
        <f t="shared" si="63"/>
        <v>25874.903196747084</v>
      </c>
      <c r="Y155" s="21">
        <f t="shared" si="63"/>
        <v>26705.919073787089</v>
      </c>
      <c r="Z155" s="21">
        <f t="shared" si="63"/>
        <v>27539.711975205792</v>
      </c>
      <c r="AA155" s="21">
        <f t="shared" si="63"/>
        <v>28376.299801251524</v>
      </c>
      <c r="AB155" s="21">
        <f t="shared" si="63"/>
        <v>29215.700567554821</v>
      </c>
      <c r="AC155" s="21">
        <f t="shared" si="63"/>
        <v>30057.932405871947</v>
      </c>
      <c r="AE155" s="264"/>
      <c r="AF155" s="270"/>
      <c r="AG155" s="270"/>
    </row>
    <row r="156" spans="1:33" x14ac:dyDescent="0.7">
      <c r="A156" s="170" t="s">
        <v>68</v>
      </c>
      <c r="B156" s="21">
        <f>B155+B154</f>
        <v>0</v>
      </c>
      <c r="C156" s="21">
        <f t="shared" ref="C156:AC156" si="64">C155+C154</f>
        <v>112750.00162933202</v>
      </c>
      <c r="D156" s="21">
        <f t="shared" si="64"/>
        <v>107840.93831550275</v>
      </c>
      <c r="E156" s="21">
        <f t="shared" si="64"/>
        <v>103497.47894293947</v>
      </c>
      <c r="F156" s="21">
        <f t="shared" si="64"/>
        <v>99154.019541118949</v>
      </c>
      <c r="G156" s="21">
        <f t="shared" si="64"/>
        <v>94810.560168555705</v>
      </c>
      <c r="H156" s="21">
        <f t="shared" si="64"/>
        <v>90467.100795992446</v>
      </c>
      <c r="I156" s="21">
        <f t="shared" si="64"/>
        <v>86123.641423429188</v>
      </c>
      <c r="J156" s="21">
        <f t="shared" si="64"/>
        <v>81780.182021608663</v>
      </c>
      <c r="K156" s="21">
        <f t="shared" si="64"/>
        <v>77436.722649045405</v>
      </c>
      <c r="L156" s="21">
        <f t="shared" si="64"/>
        <v>73093.263276482146</v>
      </c>
      <c r="M156" s="21">
        <f t="shared" si="64"/>
        <v>68749.803903918888</v>
      </c>
      <c r="N156" s="21">
        <f t="shared" si="64"/>
        <v>64406.344531355659</v>
      </c>
      <c r="O156" s="21">
        <f t="shared" si="64"/>
        <v>60062.885129535134</v>
      </c>
      <c r="P156" s="21">
        <f t="shared" si="64"/>
        <v>55719.425756971861</v>
      </c>
      <c r="Q156" s="21">
        <f t="shared" si="64"/>
        <v>51883.333598335783</v>
      </c>
      <c r="R156" s="21">
        <f t="shared" si="64"/>
        <v>52898.068026190173</v>
      </c>
      <c r="S156" s="21">
        <f t="shared" si="64"/>
        <v>53912.802424787289</v>
      </c>
      <c r="T156" s="21">
        <f t="shared" si="64"/>
        <v>54949.197517232074</v>
      </c>
      <c r="U156" s="21">
        <f t="shared" si="64"/>
        <v>55989.010021737326</v>
      </c>
      <c r="V156" s="21">
        <f t="shared" si="64"/>
        <v>57032.261924535298</v>
      </c>
      <c r="W156" s="21">
        <f t="shared" si="64"/>
        <v>58078.975499136119</v>
      </c>
      <c r="X156" s="21">
        <f t="shared" si="64"/>
        <v>59129.173072989797</v>
      </c>
      <c r="Y156" s="21">
        <f t="shared" si="64"/>
        <v>60182.877174497524</v>
      </c>
      <c r="Z156" s="21">
        <f t="shared" si="64"/>
        <v>61240.110445969374</v>
      </c>
      <c r="AA156" s="21">
        <f t="shared" si="64"/>
        <v>62300.895702873015</v>
      </c>
      <c r="AB156" s="21">
        <f t="shared" si="64"/>
        <v>63365.255876058298</v>
      </c>
      <c r="AC156" s="21">
        <f t="shared" si="64"/>
        <v>64433.214012500801</v>
      </c>
      <c r="AE156" s="264"/>
      <c r="AF156" s="270"/>
      <c r="AG156" s="270"/>
    </row>
    <row r="157" spans="1:33" x14ac:dyDescent="0.7">
      <c r="C157" s="264"/>
      <c r="D157" s="264"/>
      <c r="E157" s="264"/>
      <c r="F157" s="264"/>
      <c r="G157" s="264"/>
      <c r="H157" s="264"/>
      <c r="I157" s="264"/>
      <c r="J157" s="264"/>
      <c r="K157" s="264"/>
      <c r="L157" s="264"/>
      <c r="M157" s="264"/>
      <c r="N157" s="264"/>
      <c r="O157" s="264"/>
      <c r="P157" s="264"/>
      <c r="Q157" s="264"/>
      <c r="R157" s="264"/>
      <c r="S157" s="264"/>
      <c r="T157" s="264"/>
      <c r="U157" s="264"/>
      <c r="V157" s="264"/>
      <c r="W157" s="264"/>
      <c r="X157" s="264"/>
      <c r="Y157" s="264"/>
      <c r="Z157" s="264"/>
      <c r="AA157" s="264"/>
      <c r="AB157" s="264"/>
      <c r="AC157" s="264"/>
    </row>
    <row r="158" spans="1:33" ht="26.4" x14ac:dyDescent="0.9">
      <c r="A158" s="493" t="s">
        <v>428</v>
      </c>
      <c r="B158" s="493"/>
      <c r="C158" s="493"/>
      <c r="D158" s="493"/>
      <c r="E158" s="493"/>
      <c r="F158" s="493"/>
      <c r="G158" s="493"/>
      <c r="H158" s="493"/>
      <c r="I158" s="493"/>
      <c r="J158" s="493"/>
      <c r="K158" s="493"/>
      <c r="L158" s="493"/>
      <c r="M158" s="493"/>
      <c r="N158" s="493"/>
      <c r="O158" s="493"/>
      <c r="P158" s="493"/>
      <c r="Q158" s="493"/>
      <c r="R158" s="493"/>
      <c r="S158" s="493"/>
      <c r="T158" s="493"/>
      <c r="U158" s="493"/>
      <c r="V158" s="493"/>
      <c r="W158" s="493"/>
      <c r="X158" s="493"/>
      <c r="Y158" s="493"/>
      <c r="Z158" s="493"/>
      <c r="AA158" s="493"/>
      <c r="AB158" s="493"/>
      <c r="AC158" s="493"/>
    </row>
    <row r="159" spans="1:33" x14ac:dyDescent="0.7">
      <c r="A159" s="153"/>
      <c r="B159" s="153">
        <v>2023</v>
      </c>
      <c r="C159" s="153">
        <v>2024</v>
      </c>
      <c r="D159" s="153">
        <v>2025</v>
      </c>
      <c r="E159" s="153">
        <v>2026</v>
      </c>
      <c r="F159" s="153">
        <v>2027</v>
      </c>
      <c r="G159" s="153">
        <v>2028</v>
      </c>
      <c r="H159" s="153">
        <v>2029</v>
      </c>
      <c r="I159" s="153">
        <v>2030</v>
      </c>
      <c r="J159" s="153">
        <v>2031</v>
      </c>
      <c r="K159" s="153">
        <v>2032</v>
      </c>
      <c r="L159" s="153">
        <v>2033</v>
      </c>
      <c r="M159" s="153">
        <v>2034</v>
      </c>
      <c r="N159" s="153">
        <v>2035</v>
      </c>
      <c r="O159" s="153">
        <v>2036</v>
      </c>
      <c r="P159" s="153">
        <v>2037</v>
      </c>
      <c r="Q159" s="153">
        <v>2038</v>
      </c>
      <c r="R159" s="153">
        <v>2039</v>
      </c>
      <c r="S159" s="153">
        <v>2040</v>
      </c>
      <c r="T159" s="153">
        <v>2041</v>
      </c>
      <c r="U159" s="153">
        <v>2042</v>
      </c>
      <c r="V159" s="153">
        <v>2043</v>
      </c>
      <c r="W159" s="153">
        <v>2044</v>
      </c>
      <c r="X159" s="153">
        <v>2045</v>
      </c>
      <c r="Y159" s="153">
        <v>2046</v>
      </c>
      <c r="Z159" s="153">
        <v>2047</v>
      </c>
      <c r="AA159" s="153">
        <v>2048</v>
      </c>
      <c r="AB159" s="153">
        <v>2049</v>
      </c>
      <c r="AC159" s="153">
        <v>2050</v>
      </c>
    </row>
    <row r="160" spans="1:33" x14ac:dyDescent="0.7">
      <c r="A160" s="170" t="s">
        <v>460</v>
      </c>
      <c r="B160" s="21">
        <f>(B19+B23+((B59+B109)/'Emission Factors and Constants'!$A$12*'Emission Factors and Constants'!$A$7))*('Business As Usual'!$B$48/SUM('Business As Usual'!$B$48,'Business As Usual'!$B$53))</f>
        <v>0</v>
      </c>
      <c r="C160" s="21">
        <f>(C19+C23+((C59+C109)/'Emission Factors and Constants'!$A$12*'Emission Factors and Constants'!$A$7))*('Business As Usual'!$B$48/SUM('Business As Usual'!$B$48,'Business As Usual'!$B$53))</f>
        <v>28162533.593521912</v>
      </c>
      <c r="D160" s="21">
        <f>(D19+D23+((D59+D109)/'Emission Factors and Constants'!$A$12*'Emission Factors and Constants'!$A$7))*('Business As Usual'!$B$48/SUM('Business As Usual'!$B$48,'Business As Usual'!$B$53))</f>
        <v>56358485.573293045</v>
      </c>
      <c r="E160" s="21">
        <f>(E19+E23+((E59+E109)/'Emission Factors and Constants'!$A$12*'Emission Factors and Constants'!$A$7))*('Business As Usual'!$B$48/SUM('Business As Usual'!$B$48,'Business As Usual'!$B$53))</f>
        <v>84593122.324515074</v>
      </c>
      <c r="F160" s="21">
        <f>(F19+F23+((F59+F109)/'Emission Factors and Constants'!$A$12*'Emission Factors and Constants'!$A$7))*('Business As Usual'!$B$48/SUM('Business As Usual'!$B$48,'Business As Usual'!$B$53))</f>
        <v>112885342.65887618</v>
      </c>
      <c r="G160" s="21">
        <f>(G19+G23+((G59+G109)/'Emission Factors and Constants'!$A$12*'Emission Factors and Constants'!$A$7))*('Business As Usual'!$B$48/SUM('Business As Usual'!$B$48,'Business As Usual'!$B$53))</f>
        <v>141242346.09190312</v>
      </c>
      <c r="H160" s="21">
        <f>(H19+H23+((H59+H109)/'Emission Factors and Constants'!$A$12*'Emission Factors and Constants'!$A$7))*('Business As Usual'!$B$48/SUM('Business As Usual'!$B$48,'Business As Usual'!$B$53))</f>
        <v>169673290.66501716</v>
      </c>
      <c r="I160" s="21">
        <f>(I19+I23+((I59+I109)/'Emission Factors and Constants'!$A$12*'Emission Factors and Constants'!$A$7))*('Business As Usual'!$B$48/SUM('Business As Usual'!$B$48,'Business As Usual'!$B$53))</f>
        <v>198179070.3707968</v>
      </c>
      <c r="J160" s="21">
        <f>(J19+J23+((J59+J109)/'Emission Factors and Constants'!$A$12*'Emission Factors and Constants'!$A$7))*('Business As Usual'!$B$48/SUM('Business As Usual'!$B$48,'Business As Usual'!$B$53))</f>
        <v>226768654.03754792</v>
      </c>
      <c r="K160" s="21">
        <f>(K19+K23+((K59+K109)/'Emission Factors and Constants'!$A$12*'Emission Factors and Constants'!$A$7))*('Business As Usual'!$B$48/SUM('Business As Usual'!$B$48,'Business As Usual'!$B$53))</f>
        <v>255418010.80379957</v>
      </c>
      <c r="L160" s="21">
        <f>(L19+L23+((L59+L109)/'Emission Factors and Constants'!$A$12*'Emission Factors and Constants'!$A$7))*('Business As Usual'!$B$48/SUM('Business As Usual'!$B$48,'Business As Usual'!$B$53))</f>
        <v>284134325.1298492</v>
      </c>
      <c r="M160" s="21">
        <f>(M19+M23+((M59+M109)/'Emission Factors and Constants'!$A$12*'Emission Factors and Constants'!$A$7))*('Business As Usual'!$B$48/SUM('Business As Usual'!$B$48,'Business As Usual'!$B$53))</f>
        <v>312903939.85571897</v>
      </c>
      <c r="N160" s="21">
        <f>(N19+N23+((N59+N109)/'Emission Factors and Constants'!$A$12*'Emission Factors and Constants'!$A$7))*('Business As Usual'!$B$48/SUM('Business As Usual'!$B$48,'Business As Usual'!$B$53))</f>
        <v>341701601.90857792</v>
      </c>
      <c r="O160" s="21">
        <f>(O19+O23+((O59+O109)/'Emission Factors and Constants'!$A$12*'Emission Factors and Constants'!$A$7))*('Business As Usual'!$B$48/SUM('Business As Usual'!$B$48,'Business As Usual'!$B$53))</f>
        <v>370485706.67768508</v>
      </c>
      <c r="P160" s="21">
        <f>(P19+P23+((P59+P109)/'Emission Factors and Constants'!$A$12*'Emission Factors and Constants'!$A$7))*('Business As Usual'!$B$48/SUM('Business As Usual'!$B$48,'Business As Usual'!$B$53))</f>
        <v>398659770.92737979</v>
      </c>
      <c r="Q160" s="21">
        <f>(Q19+Q23+((Q59+Q109)/'Emission Factors and Constants'!$A$12*'Emission Factors and Constants'!$A$7))*('Business As Usual'!$B$48/SUM('Business As Usual'!$B$48,'Business As Usual'!$B$53))</f>
        <v>426826059.68885708</v>
      </c>
      <c r="R160" s="21">
        <f>(R19+R23+((R59+R109)/'Emission Factors and Constants'!$A$12*'Emission Factors and Constants'!$A$7))*('Business As Usual'!$B$48/SUM('Business As Usual'!$B$48,'Business As Usual'!$B$53))</f>
        <v>454982326.11787122</v>
      </c>
      <c r="S160" s="21">
        <f>(S19+S23+((S59+S109)/'Emission Factors and Constants'!$A$12*'Emission Factors and Constants'!$A$7))*('Business As Usual'!$B$48/SUM('Business As Usual'!$B$48,'Business As Usual'!$B$53))</f>
        <v>483136785.61913663</v>
      </c>
      <c r="T160" s="21">
        <f>(T19+T23+((T59+T109)/'Emission Factors and Constants'!$A$12*'Emission Factors and Constants'!$A$7))*('Business As Usual'!$B$48/SUM('Business As Usual'!$B$48,'Business As Usual'!$B$53))</f>
        <v>512341703.31691194</v>
      </c>
      <c r="U160" s="21">
        <f>(U19+U23+((U59+U109)/'Emission Factors and Constants'!$A$12*'Emission Factors and Constants'!$A$7))*('Business As Usual'!$B$48/SUM('Business As Usual'!$B$48,'Business As Usual'!$B$53))</f>
        <v>541711740.6431036</v>
      </c>
      <c r="V160" s="21">
        <f>(V19+V23+((V59+V109)/'Emission Factors and Constants'!$A$12*'Emission Factors and Constants'!$A$7))*('Business As Usual'!$B$48/SUM('Business As Usual'!$B$48,'Business As Usual'!$B$53))</f>
        <v>571254552.17244053</v>
      </c>
      <c r="W160" s="21">
        <f>(W19+W23+((W59+W109)/'Emission Factors and Constants'!$A$12*'Emission Factors and Constants'!$A$7))*('Business As Usual'!$B$48/SUM('Business As Usual'!$B$48,'Business As Usual'!$B$53))</f>
        <v>600977245.27499235</v>
      </c>
      <c r="X160" s="21">
        <f>(X19+X23+((X59+X109)/'Emission Factors and Constants'!$A$12*'Emission Factors and Constants'!$A$7))*('Business As Usual'!$B$48/SUM('Business As Usual'!$B$48,'Business As Usual'!$B$53))</f>
        <v>630879305.90444791</v>
      </c>
      <c r="Y160" s="21">
        <f>(Y19+Y23+((Y59+Y109)/'Emission Factors and Constants'!$A$12*'Emission Factors and Constants'!$A$7))*('Business As Usual'!$B$48/SUM('Business As Usual'!$B$48,'Business As Usual'!$B$53))</f>
        <v>660989926.61663401</v>
      </c>
      <c r="Z160" s="21">
        <f>(Z19+Z23+((Z59+Z109)/'Emission Factors and Constants'!$A$12*'Emission Factors and Constants'!$A$7))*('Business As Usual'!$B$48/SUM('Business As Usual'!$B$48,'Business As Usual'!$B$53))</f>
        <v>691306726.9780091</v>
      </c>
      <c r="AA160" s="21">
        <f>(AA19+AA23+((AA59+AA109)/'Emission Factors and Constants'!$A$12*'Emission Factors and Constants'!$A$7))*('Business As Usual'!$B$48/SUM('Business As Usual'!$B$48,'Business As Usual'!$B$53))</f>
        <v>721830806.49890172</v>
      </c>
      <c r="AB160" s="21">
        <f>(AB19+AB23+((AB59+AB109)/'Emission Factors and Constants'!$A$12*'Emission Factors and Constants'!$A$7))*('Business As Usual'!$B$48/SUM('Business As Usual'!$B$48,'Business As Usual'!$B$53))</f>
        <v>752571594.89547753</v>
      </c>
      <c r="AC160" s="21">
        <f>(AC19+AC23+((AC59+AC109)/'Emission Factors and Constants'!$A$12*'Emission Factors and Constants'!$A$7))*('Business As Usual'!$B$48/SUM('Business As Usual'!$B$48,'Business As Usual'!$B$53))</f>
        <v>783638298.96941733</v>
      </c>
      <c r="AE160" s="264"/>
      <c r="AF160" s="270"/>
      <c r="AG160" s="270"/>
    </row>
    <row r="161" spans="1:52" x14ac:dyDescent="0.7">
      <c r="A161" s="170" t="s">
        <v>461</v>
      </c>
      <c r="B161" s="21">
        <f>(B29+B33+((B83+B128)/'Emission Factors and Constants'!$A$12*'Emission Factors and Constants'!$A$7))*('Business As Usual'!$B$49/SUM('Business As Usual'!$B$49,'Business As Usual'!$B$54))</f>
        <v>0</v>
      </c>
      <c r="C161" s="21">
        <f>(C29+C33+((C83+C128)/'Emission Factors and Constants'!$A$12*'Emission Factors and Constants'!$A$7))*('Business As Usual'!$B$49/SUM('Business As Usual'!$B$49,'Business As Usual'!$B$54))</f>
        <v>36897241.716228388</v>
      </c>
      <c r="D161" s="21">
        <f>(D29+D33+((D83+D128)/'Emission Factors and Constants'!$A$12*'Emission Factors and Constants'!$A$7))*('Business As Usual'!$B$49/SUM('Business As Usual'!$B$49,'Business As Usual'!$B$54))</f>
        <v>73787704.795055747</v>
      </c>
      <c r="E161" s="21">
        <f>(E29+E33+((E83+E128)/'Emission Factors and Constants'!$A$12*'Emission Factors and Constants'!$A$7))*('Business As Usual'!$B$49/SUM('Business As Usual'!$B$49,'Business As Usual'!$B$54))</f>
        <v>110672241.98134467</v>
      </c>
      <c r="F161" s="21">
        <f>(F29+F33+((F83+F128)/'Emission Factors and Constants'!$A$12*'Emission Factors and Constants'!$A$7))*('Business As Usual'!$B$49/SUM('Business As Usual'!$B$49,'Business As Usual'!$B$54))</f>
        <v>147551374.28798503</v>
      </c>
      <c r="G161" s="21">
        <f>(G29+G33+((G83+G128)/'Emission Factors and Constants'!$A$12*'Emission Factors and Constants'!$A$7))*('Business As Usual'!$B$49/SUM('Business As Usual'!$B$49,'Business As Usual'!$B$54))</f>
        <v>184425033.50250256</v>
      </c>
      <c r="H161" s="21">
        <f>(H29+H33+((H83+H128)/'Emission Factors and Constants'!$A$12*'Emission Factors and Constants'!$A$7))*('Business As Usual'!$B$49/SUM('Business As Usual'!$B$49,'Business As Usual'!$B$54))</f>
        <v>221293116.60885891</v>
      </c>
      <c r="I161" s="21">
        <f>(I29+I33+((I83+I128)/'Emission Factors and Constants'!$A$12*'Emission Factors and Constants'!$A$7))*('Business As Usual'!$B$49/SUM('Business As Usual'!$B$49,'Business As Usual'!$B$54))</f>
        <v>258155830.51177964</v>
      </c>
      <c r="J161" s="21">
        <f>(J29+J33+((J83+J128)/'Emission Factors and Constants'!$A$12*'Emission Factors and Constants'!$A$7))*('Business As Usual'!$B$49/SUM('Business As Usual'!$B$49,'Business As Usual'!$B$54))</f>
        <v>295030005.14374423</v>
      </c>
      <c r="K161" s="21">
        <f>(K29+K33+((K83+K128)/'Emission Factors and Constants'!$A$12*'Emission Factors and Constants'!$A$7))*('Business As Usual'!$B$49/SUM('Business As Usual'!$B$49,'Business As Usual'!$B$54))</f>
        <v>331915641.30043989</v>
      </c>
      <c r="L161" s="21">
        <f>(L29+L33+((L83+L128)/'Emission Factors and Constants'!$A$12*'Emission Factors and Constants'!$A$7))*('Business As Usual'!$B$49/SUM('Business As Usual'!$B$49,'Business As Usual'!$B$54))</f>
        <v>368812395.91444516</v>
      </c>
      <c r="M161" s="21">
        <f>(M29+M33+((M83+M128)/'Emission Factors and Constants'!$A$12*'Emission Factors and Constants'!$A$7))*('Business As Usual'!$B$49/SUM('Business As Usual'!$B$49,'Business As Usual'!$B$54))</f>
        <v>405719965.34453833</v>
      </c>
      <c r="N161" s="21">
        <f>(N29+N33+((N83+N128)/'Emission Factors and Constants'!$A$12*'Emission Factors and Constants'!$A$7))*('Business As Usual'!$B$49/SUM('Business As Usual'!$B$49,'Business As Usual'!$B$54))</f>
        <v>442637775.44398218</v>
      </c>
      <c r="O161" s="21">
        <f>(O29+O33+((O83+O128)/'Emission Factors and Constants'!$A$12*'Emission Factors and Constants'!$A$7))*('Business As Usual'!$B$49/SUM('Business As Usual'!$B$49,'Business As Usual'!$B$54))</f>
        <v>479558019.75792575</v>
      </c>
      <c r="P161" s="21">
        <f>(P29+P33+((P83+P128)/'Emission Factors and Constants'!$A$12*'Emission Factors and Constants'!$A$7))*('Business As Usual'!$B$49/SUM('Business As Usual'!$B$49,'Business As Usual'!$B$54))</f>
        <v>516479640.85134184</v>
      </c>
      <c r="Q161" s="21">
        <f>(Q29+Q33+((Q83+Q128)/'Emission Factors and Constants'!$A$12*'Emission Factors and Constants'!$A$7))*('Business As Usual'!$B$49/SUM('Business As Usual'!$B$49,'Business As Usual'!$B$54))</f>
        <v>553154160.03908253</v>
      </c>
      <c r="R161" s="21">
        <f>(R29+R33+((R83+R128)/'Emission Factors and Constants'!$A$12*'Emission Factors and Constants'!$A$7))*('Business As Usual'!$B$49/SUM('Business As Usual'!$B$49,'Business As Usual'!$B$54))</f>
        <v>589830262.17224765</v>
      </c>
      <c r="S161" s="21">
        <f>(S29+S33+((S83+S128)/'Emission Factors and Constants'!$A$12*'Emission Factors and Constants'!$A$7))*('Business As Usual'!$B$49/SUM('Business As Usual'!$B$49,'Business As Usual'!$B$54))</f>
        <v>626508833.41733897</v>
      </c>
      <c r="T161" s="21">
        <f>(T29+T33+((T83+T128)/'Emission Factors and Constants'!$A$12*'Emission Factors and Constants'!$A$7))*('Business As Usual'!$B$49/SUM('Business As Usual'!$B$49,'Business As Usual'!$B$54))</f>
        <v>664650728.3669399</v>
      </c>
      <c r="U161" s="21">
        <f>(U29+U33+((U83+U128)/'Emission Factors and Constants'!$A$12*'Emission Factors and Constants'!$A$7))*('Business As Usual'!$B$49/SUM('Business As Usual'!$B$49,'Business As Usual'!$B$54))</f>
        <v>703012147.69645512</v>
      </c>
      <c r="V161" s="21">
        <f>(V29+V33+((V83+V128)/'Emission Factors and Constants'!$A$12*'Emission Factors and Constants'!$A$7))*('Business As Usual'!$B$49/SUM('Business As Usual'!$B$49,'Business As Usual'!$B$54))</f>
        <v>741594936.41458261</v>
      </c>
      <c r="W161" s="21">
        <f>(W29+W33+((W83+W128)/'Emission Factors and Constants'!$A$12*'Emission Factors and Constants'!$A$7))*('Business As Usual'!$B$49/SUM('Business As Usual'!$B$49,'Business As Usual'!$B$54))</f>
        <v>780399300.70374227</v>
      </c>
      <c r="X161" s="21">
        <f>(X29+X33+((X83+X128)/'Emission Factors and Constants'!$A$12*'Emission Factors and Constants'!$A$7))*('Business As Usual'!$B$49/SUM('Business As Usual'!$B$49,'Business As Usual'!$B$54))</f>
        <v>819427374.09998798</v>
      </c>
      <c r="Y161" s="21">
        <f>(Y29+Y33+((Y83+Y128)/'Emission Factors and Constants'!$A$12*'Emission Factors and Constants'!$A$7))*('Business As Usual'!$B$49/SUM('Business As Usual'!$B$49,'Business As Usual'!$B$54))</f>
        <v>858696296.44372451</v>
      </c>
      <c r="Z161" s="21">
        <f>(Z29+Z33+((Z83+Z128)/'Emission Factors and Constants'!$A$12*'Emission Factors and Constants'!$A$7))*('Business As Usual'!$B$49/SUM('Business As Usual'!$B$49,'Business As Usual'!$B$54))</f>
        <v>898207102.2344811</v>
      </c>
      <c r="AA161" s="21">
        <f>(AA29+AA33+((AA83+AA128)/'Emission Factors and Constants'!$A$12*'Emission Factors and Constants'!$A$7))*('Business As Usual'!$B$49/SUM('Business As Usual'!$B$49,'Business As Usual'!$B$54))</f>
        <v>937961321.79516947</v>
      </c>
      <c r="AB161" s="21">
        <f>(AB29+AB33+((AB83+AB128)/'Emission Factors and Constants'!$A$12*'Emission Factors and Constants'!$A$7))*('Business As Usual'!$B$49/SUM('Business As Usual'!$B$49,'Business As Usual'!$B$54))</f>
        <v>977961488.71406579</v>
      </c>
      <c r="AC161" s="21">
        <f>(AC29+AC33+((AC83+AC128)/'Emission Factors and Constants'!$A$12*'Emission Factors and Constants'!$A$7))*('Business As Usual'!$B$49/SUM('Business As Usual'!$B$49,'Business As Usual'!$B$54))</f>
        <v>1018208232.0086253</v>
      </c>
      <c r="AE161" s="264"/>
      <c r="AF161" s="270"/>
      <c r="AG161" s="270"/>
      <c r="AI161" s="264"/>
    </row>
    <row r="162" spans="1:52" x14ac:dyDescent="0.7">
      <c r="A162" s="170" t="s">
        <v>462</v>
      </c>
      <c r="B162" s="21">
        <f>(B19+B23+((B59+B109)/'Emission Factors and Constants'!$A$12*'Emission Factors and Constants'!$A$7))*('Business As Usual'!$B$53/SUM('Business As Usual'!$B$48,'Business As Usual'!$B$53))</f>
        <v>0</v>
      </c>
      <c r="C162" s="21">
        <f>(C19+C23+((C59+C109)/'Emission Factors and Constants'!$A$12*'Emission Factors and Constants'!$A$7))*('Business As Usual'!$B$53/SUM('Business As Usual'!$B$48,'Business As Usual'!$B$53))</f>
        <v>0</v>
      </c>
      <c r="D162" s="21">
        <f>(D19+D23+((D59+D109)/'Emission Factors and Constants'!$A$12*'Emission Factors and Constants'!$A$7))*('Business As Usual'!$B$53/SUM('Business As Usual'!$B$48,'Business As Usual'!$B$53))</f>
        <v>0</v>
      </c>
      <c r="E162" s="21">
        <f>(E19+E23+((E59+E109)/'Emission Factors and Constants'!$A$12*'Emission Factors and Constants'!$A$7))*('Business As Usual'!$B$53/SUM('Business As Usual'!$B$48,'Business As Usual'!$B$53))</f>
        <v>0</v>
      </c>
      <c r="F162" s="21">
        <f>(F19+F23+((F59+F109)/'Emission Factors and Constants'!$A$12*'Emission Factors and Constants'!$A$7))*('Business As Usual'!$B$53/SUM('Business As Usual'!$B$48,'Business As Usual'!$B$53))</f>
        <v>0</v>
      </c>
      <c r="G162" s="21">
        <f>(G19+G23+((G59+G109)/'Emission Factors and Constants'!$A$12*'Emission Factors and Constants'!$A$7))*('Business As Usual'!$B$53/SUM('Business As Usual'!$B$48,'Business As Usual'!$B$53))</f>
        <v>0</v>
      </c>
      <c r="H162" s="21">
        <f>(H19+H23+((H59+H109)/'Emission Factors and Constants'!$A$12*'Emission Factors and Constants'!$A$7))*('Business As Usual'!$B$53/SUM('Business As Usual'!$B$48,'Business As Usual'!$B$53))</f>
        <v>0</v>
      </c>
      <c r="I162" s="21">
        <f>(I19+I23+((I59+I109)/'Emission Factors and Constants'!$A$12*'Emission Factors and Constants'!$A$7))*('Business As Usual'!$B$53/SUM('Business As Usual'!$B$48,'Business As Usual'!$B$53))</f>
        <v>0</v>
      </c>
      <c r="J162" s="21">
        <f>(J19+J23+((J59+J109)/'Emission Factors and Constants'!$A$12*'Emission Factors and Constants'!$A$7))*('Business As Usual'!$B$53/SUM('Business As Usual'!$B$48,'Business As Usual'!$B$53))</f>
        <v>0</v>
      </c>
      <c r="K162" s="21">
        <f>(K19+K23+((K59+K109)/'Emission Factors and Constants'!$A$12*'Emission Factors and Constants'!$A$7))*('Business As Usual'!$B$53/SUM('Business As Usual'!$B$48,'Business As Usual'!$B$53))</f>
        <v>0</v>
      </c>
      <c r="L162" s="21">
        <f>(L19+L23+((L59+L109)/'Emission Factors and Constants'!$A$12*'Emission Factors and Constants'!$A$7))*('Business As Usual'!$B$53/SUM('Business As Usual'!$B$48,'Business As Usual'!$B$53))</f>
        <v>0</v>
      </c>
      <c r="M162" s="21">
        <f>(M19+M23+((M59+M109)/'Emission Factors and Constants'!$A$12*'Emission Factors and Constants'!$A$7))*('Business As Usual'!$B$53/SUM('Business As Usual'!$B$48,'Business As Usual'!$B$53))</f>
        <v>0</v>
      </c>
      <c r="N162" s="21">
        <f>(N19+N23+((N59+N109)/'Emission Factors and Constants'!$A$12*'Emission Factors and Constants'!$A$7))*('Business As Usual'!$B$53/SUM('Business As Usual'!$B$48,'Business As Usual'!$B$53))</f>
        <v>0</v>
      </c>
      <c r="O162" s="21">
        <f>(O19+O23+((O59+O109)/'Emission Factors and Constants'!$A$12*'Emission Factors and Constants'!$A$7))*('Business As Usual'!$B$53/SUM('Business As Usual'!$B$48,'Business As Usual'!$B$53))</f>
        <v>0</v>
      </c>
      <c r="P162" s="21">
        <f>(P19+P23+((P59+P109)/'Emission Factors and Constants'!$A$12*'Emission Factors and Constants'!$A$7))*('Business As Usual'!$B$53/SUM('Business As Usual'!$B$48,'Business As Usual'!$B$53))</f>
        <v>0</v>
      </c>
      <c r="Q162" s="21">
        <f>(Q19+Q23+((Q59+Q109)/'Emission Factors and Constants'!$A$12*'Emission Factors and Constants'!$A$7))*('Business As Usual'!$B$53/SUM('Business As Usual'!$B$48,'Business As Usual'!$B$53))</f>
        <v>0</v>
      </c>
      <c r="R162" s="21">
        <f>(R19+R23+((R59+R109)/'Emission Factors and Constants'!$A$12*'Emission Factors and Constants'!$A$7))*('Business As Usual'!$B$53/SUM('Business As Usual'!$B$48,'Business As Usual'!$B$53))</f>
        <v>0</v>
      </c>
      <c r="S162" s="21">
        <f>(S19+S23+((S59+S109)/'Emission Factors and Constants'!$A$12*'Emission Factors and Constants'!$A$7))*('Business As Usual'!$B$53/SUM('Business As Usual'!$B$48,'Business As Usual'!$B$53))</f>
        <v>0</v>
      </c>
      <c r="T162" s="21">
        <f>(T19+T23+((T59+T109)/'Emission Factors and Constants'!$A$12*'Emission Factors and Constants'!$A$7))*('Business As Usual'!$B$53/SUM('Business As Usual'!$B$48,'Business As Usual'!$B$53))</f>
        <v>0</v>
      </c>
      <c r="U162" s="21">
        <f>(U19+U23+((U59+U109)/'Emission Factors and Constants'!$A$12*'Emission Factors and Constants'!$A$7))*('Business As Usual'!$B$53/SUM('Business As Usual'!$B$48,'Business As Usual'!$B$53))</f>
        <v>0</v>
      </c>
      <c r="V162" s="21">
        <f>(V19+V23+((V59+V109)/'Emission Factors and Constants'!$A$12*'Emission Factors and Constants'!$A$7))*('Business As Usual'!$B$53/SUM('Business As Usual'!$B$48,'Business As Usual'!$B$53))</f>
        <v>0</v>
      </c>
      <c r="W162" s="21">
        <f>(W19+W23+((W59+W109)/'Emission Factors and Constants'!$A$12*'Emission Factors and Constants'!$A$7))*('Business As Usual'!$B$53/SUM('Business As Usual'!$B$48,'Business As Usual'!$B$53))</f>
        <v>0</v>
      </c>
      <c r="X162" s="21">
        <f>(X19+X23+((X59+X109)/'Emission Factors and Constants'!$A$12*'Emission Factors and Constants'!$A$7))*('Business As Usual'!$B$53/SUM('Business As Usual'!$B$48,'Business As Usual'!$B$53))</f>
        <v>0</v>
      </c>
      <c r="Y162" s="21">
        <f>(Y19+Y23+((Y59+Y109)/'Emission Factors and Constants'!$A$12*'Emission Factors and Constants'!$A$7))*('Business As Usual'!$B$53/SUM('Business As Usual'!$B$48,'Business As Usual'!$B$53))</f>
        <v>0</v>
      </c>
      <c r="Z162" s="21">
        <f>(Z19+Z23+((Z59+Z109)/'Emission Factors and Constants'!$A$12*'Emission Factors and Constants'!$A$7))*('Business As Usual'!$B$53/SUM('Business As Usual'!$B$48,'Business As Usual'!$B$53))</f>
        <v>0</v>
      </c>
      <c r="AA162" s="21">
        <f>(AA19+AA23+((AA59+AA109)/'Emission Factors and Constants'!$A$12*'Emission Factors and Constants'!$A$7))*('Business As Usual'!$B$53/SUM('Business As Usual'!$B$48,'Business As Usual'!$B$53))</f>
        <v>0</v>
      </c>
      <c r="AB162" s="21">
        <f>(AB19+AB23+((AB59+AB109)/'Emission Factors and Constants'!$A$12*'Emission Factors and Constants'!$A$7))*('Business As Usual'!$B$53/SUM('Business As Usual'!$B$48,'Business As Usual'!$B$53))</f>
        <v>0</v>
      </c>
      <c r="AC162" s="21">
        <f>(AC19+AC23+((AC59+AC109)/'Emission Factors and Constants'!$A$12*'Emission Factors and Constants'!$A$7))*('Business As Usual'!$B$53/SUM('Business As Usual'!$B$48,'Business As Usual'!$B$53))</f>
        <v>0</v>
      </c>
      <c r="AI162" s="264"/>
    </row>
    <row r="163" spans="1:52" x14ac:dyDescent="0.7">
      <c r="A163" s="170" t="s">
        <v>463</v>
      </c>
      <c r="B163" s="21">
        <f>(B29+B33+((B83+B128)/'Emission Factors and Constants'!$A$12*'Emission Factors and Constants'!$A$7))*('Business As Usual'!$B$54/SUM('Business As Usual'!$B$49,'Business As Usual'!$B$54))</f>
        <v>0</v>
      </c>
      <c r="C163" s="21">
        <f>(C29+C33+((C83+C128)/'Emission Factors and Constants'!$A$12*'Emission Factors and Constants'!$A$7))*('Business As Usual'!$B$54/SUM('Business As Usual'!$B$49,'Business As Usual'!$B$54))</f>
        <v>0</v>
      </c>
      <c r="D163" s="21">
        <f>(D29+D33+((D83+D128)/'Emission Factors and Constants'!$A$12*'Emission Factors and Constants'!$A$7))*('Business As Usual'!$B$54/SUM('Business As Usual'!$B$49,'Business As Usual'!$B$54))</f>
        <v>0</v>
      </c>
      <c r="E163" s="21">
        <f>(E29+E33+((E83+E128)/'Emission Factors and Constants'!$A$12*'Emission Factors and Constants'!$A$7))*('Business As Usual'!$B$54/SUM('Business As Usual'!$B$49,'Business As Usual'!$B$54))</f>
        <v>0</v>
      </c>
      <c r="F163" s="21">
        <f>(F29+F33+((F83+F128)/'Emission Factors and Constants'!$A$12*'Emission Factors and Constants'!$A$7))*('Business As Usual'!$B$54/SUM('Business As Usual'!$B$49,'Business As Usual'!$B$54))</f>
        <v>0</v>
      </c>
      <c r="G163" s="21">
        <f>(G29+G33+((G83+G128)/'Emission Factors and Constants'!$A$12*'Emission Factors and Constants'!$A$7))*('Business As Usual'!$B$54/SUM('Business As Usual'!$B$49,'Business As Usual'!$B$54))</f>
        <v>0</v>
      </c>
      <c r="H163" s="21">
        <f>(H29+H33+((H83+H128)/'Emission Factors and Constants'!$A$12*'Emission Factors and Constants'!$A$7))*('Business As Usual'!$B$54/SUM('Business As Usual'!$B$49,'Business As Usual'!$B$54))</f>
        <v>0</v>
      </c>
      <c r="I163" s="21">
        <f>(I29+I33+((I83+I128)/'Emission Factors and Constants'!$A$12*'Emission Factors and Constants'!$A$7))*('Business As Usual'!$B$54/SUM('Business As Usual'!$B$49,'Business As Usual'!$B$54))</f>
        <v>0</v>
      </c>
      <c r="J163" s="21">
        <f>(J29+J33+((J83+J128)/'Emission Factors and Constants'!$A$12*'Emission Factors and Constants'!$A$7))*('Business As Usual'!$B$54/SUM('Business As Usual'!$B$49,'Business As Usual'!$B$54))</f>
        <v>0</v>
      </c>
      <c r="K163" s="21">
        <f>(K29+K33+((K83+K128)/'Emission Factors and Constants'!$A$12*'Emission Factors and Constants'!$A$7))*('Business As Usual'!$B$54/SUM('Business As Usual'!$B$49,'Business As Usual'!$B$54))</f>
        <v>0</v>
      </c>
      <c r="L163" s="21">
        <f>(L29+L33+((L83+L128)/'Emission Factors and Constants'!$A$12*'Emission Factors and Constants'!$A$7))*('Business As Usual'!$B$54/SUM('Business As Usual'!$B$49,'Business As Usual'!$B$54))</f>
        <v>0</v>
      </c>
      <c r="M163" s="21">
        <f>(M29+M33+((M83+M128)/'Emission Factors and Constants'!$A$12*'Emission Factors and Constants'!$A$7))*('Business As Usual'!$B$54/SUM('Business As Usual'!$B$49,'Business As Usual'!$B$54))</f>
        <v>0</v>
      </c>
      <c r="N163" s="21">
        <f>(N29+N33+((N83+N128)/'Emission Factors and Constants'!$A$12*'Emission Factors and Constants'!$A$7))*('Business As Usual'!$B$54/SUM('Business As Usual'!$B$49,'Business As Usual'!$B$54))</f>
        <v>0</v>
      </c>
      <c r="O163" s="21">
        <f>(O29+O33+((O83+O128)/'Emission Factors and Constants'!$A$12*'Emission Factors and Constants'!$A$7))*('Business As Usual'!$B$54/SUM('Business As Usual'!$B$49,'Business As Usual'!$B$54))</f>
        <v>0</v>
      </c>
      <c r="P163" s="21">
        <f>(P29+P33+((P83+P128)/'Emission Factors and Constants'!$A$12*'Emission Factors and Constants'!$A$7))*('Business As Usual'!$B$54/SUM('Business As Usual'!$B$49,'Business As Usual'!$B$54))</f>
        <v>0</v>
      </c>
      <c r="Q163" s="21">
        <f>(Q29+Q33+((Q83+Q128)/'Emission Factors and Constants'!$A$12*'Emission Factors and Constants'!$A$7))*('Business As Usual'!$B$54/SUM('Business As Usual'!$B$49,'Business As Usual'!$B$54))</f>
        <v>0</v>
      </c>
      <c r="R163" s="21">
        <f>(R29+R33+((R83+R128)/'Emission Factors and Constants'!$A$12*'Emission Factors and Constants'!$A$7))*('Business As Usual'!$B$54/SUM('Business As Usual'!$B$49,'Business As Usual'!$B$54))</f>
        <v>0</v>
      </c>
      <c r="S163" s="21">
        <f>(S29+S33+((S83+S128)/'Emission Factors and Constants'!$A$12*'Emission Factors and Constants'!$A$7))*('Business As Usual'!$B$54/SUM('Business As Usual'!$B$49,'Business As Usual'!$B$54))</f>
        <v>0</v>
      </c>
      <c r="T163" s="21">
        <f>(T29+T33+((T83+T128)/'Emission Factors and Constants'!$A$12*'Emission Factors and Constants'!$A$7))*('Business As Usual'!$B$54/SUM('Business As Usual'!$B$49,'Business As Usual'!$B$54))</f>
        <v>0</v>
      </c>
      <c r="U163" s="21">
        <f>(U29+U33+((U83+U128)/'Emission Factors and Constants'!$A$12*'Emission Factors and Constants'!$A$7))*('Business As Usual'!$B$54/SUM('Business As Usual'!$B$49,'Business As Usual'!$B$54))</f>
        <v>0</v>
      </c>
      <c r="V163" s="21">
        <f>(V29+V33+((V83+V128)/'Emission Factors and Constants'!$A$12*'Emission Factors and Constants'!$A$7))*('Business As Usual'!$B$54/SUM('Business As Usual'!$B$49,'Business As Usual'!$B$54))</f>
        <v>0</v>
      </c>
      <c r="W163" s="21">
        <f>(W29+W33+((W83+W128)/'Emission Factors and Constants'!$A$12*'Emission Factors and Constants'!$A$7))*('Business As Usual'!$B$54/SUM('Business As Usual'!$B$49,'Business As Usual'!$B$54))</f>
        <v>0</v>
      </c>
      <c r="X163" s="21">
        <f>(X29+X33+((X83+X128)/'Emission Factors and Constants'!$A$12*'Emission Factors and Constants'!$A$7))*('Business As Usual'!$B$54/SUM('Business As Usual'!$B$49,'Business As Usual'!$B$54))</f>
        <v>0</v>
      </c>
      <c r="Y163" s="21">
        <f>(Y29+Y33+((Y83+Y128)/'Emission Factors and Constants'!$A$12*'Emission Factors and Constants'!$A$7))*('Business As Usual'!$B$54/SUM('Business As Usual'!$B$49,'Business As Usual'!$B$54))</f>
        <v>0</v>
      </c>
      <c r="Z163" s="21">
        <f>(Z29+Z33+((Z83+Z128)/'Emission Factors and Constants'!$A$12*'Emission Factors and Constants'!$A$7))*('Business As Usual'!$B$54/SUM('Business As Usual'!$B$49,'Business As Usual'!$B$54))</f>
        <v>0</v>
      </c>
      <c r="AA163" s="21">
        <f>(AA29+AA33+((AA83+AA128)/'Emission Factors and Constants'!$A$12*'Emission Factors and Constants'!$A$7))*('Business As Usual'!$B$54/SUM('Business As Usual'!$B$49,'Business As Usual'!$B$54))</f>
        <v>0</v>
      </c>
      <c r="AB163" s="21">
        <f>(AB29+AB33+((AB83+AB128)/'Emission Factors and Constants'!$A$12*'Emission Factors and Constants'!$A$7))*('Business As Usual'!$B$54/SUM('Business As Usual'!$B$49,'Business As Usual'!$B$54))</f>
        <v>0</v>
      </c>
      <c r="AC163" s="21">
        <f>(AC29+AC33+((AC83+AC128)/'Emission Factors and Constants'!$A$12*'Emission Factors and Constants'!$A$7))*('Business As Usual'!$B$54/SUM('Business As Usual'!$B$49,'Business As Usual'!$B$54))</f>
        <v>0</v>
      </c>
      <c r="AI163" s="264"/>
    </row>
    <row r="164" spans="1:52" x14ac:dyDescent="0.7">
      <c r="A164" s="170" t="s">
        <v>183</v>
      </c>
      <c r="B164" s="21">
        <f>B18+B22+((B60+B110)*'Emission Factors and Constants'!$A$7/'Emission Factors and Constants'!$A$13)</f>
        <v>0</v>
      </c>
      <c r="C164" s="21">
        <f>C18+C22+((C60+C110)*'Emission Factors and Constants'!$A$7/'Emission Factors and Constants'!$A$13)</f>
        <v>4644.6468774749665</v>
      </c>
      <c r="D164" s="21">
        <f>D18+D22+((D60+D110)*'Emission Factors and Constants'!$A$7/'Emission Factors and Constants'!$A$13)</f>
        <v>-2259.1337944690604</v>
      </c>
      <c r="E164" s="21">
        <f>E18+E22+((E60+E110)*'Emission Factors and Constants'!$A$7/'Emission Factors and Constants'!$A$13)</f>
        <v>-21159.921942026354</v>
      </c>
      <c r="F164" s="21">
        <f>F18+F22+((F60+F110)*'Emission Factors and Constants'!$A$7/'Emission Factors and Constants'!$A$13)</f>
        <v>-54123.609660453163</v>
      </c>
      <c r="G164" s="21">
        <f>G18+G22+((G60+G110)*'Emission Factors and Constants'!$A$7/'Emission Factors and Constants'!$A$13)</f>
        <v>-101806.16953669023</v>
      </c>
      <c r="H164" s="21">
        <f>H18+H22+((H60+H110)*'Emission Factors and Constants'!$A$7/'Emission Factors and Constants'!$A$13)</f>
        <v>-165102.73032639455</v>
      </c>
      <c r="I164" s="21">
        <f>I18+I22+((I60+I110)*'Emission Factors and Constants'!$A$7/'Emission Factors and Constants'!$A$13)</f>
        <v>-243898.99151012255</v>
      </c>
      <c r="J164" s="21">
        <f>J18+J22+((J60+J110)*'Emission Factors and Constants'!$A$7/'Emission Factors and Constants'!$A$13)</f>
        <v>-336412.09740043571</v>
      </c>
      <c r="K164" s="21">
        <f>K18+K22+((K60+K110)*'Emission Factors and Constants'!$A$7/'Emission Factors and Constants'!$A$13)</f>
        <v>-439471.7765137949</v>
      </c>
      <c r="L164" s="21">
        <f>L18+L22+((L60+L110)*'Emission Factors and Constants'!$A$7/'Emission Factors and Constants'!$A$13)</f>
        <v>-554110.24273161776</v>
      </c>
      <c r="M164" s="21">
        <f>M18+M22+((M60+M110)*'Emission Factors and Constants'!$A$7/'Emission Factors and Constants'!$A$13)</f>
        <v>-678776.29679086711</v>
      </c>
      <c r="N164" s="21">
        <f>N18+N22+((N60+N110)*'Emission Factors and Constants'!$A$7/'Emission Factors and Constants'!$A$13)</f>
        <v>-810428.80219194572</v>
      </c>
      <c r="O164" s="21">
        <f>O18+O22+((O60+O110)*'Emission Factors and Constants'!$A$7/'Emission Factors and Constants'!$A$13)</f>
        <v>-943769.65476224478</v>
      </c>
      <c r="P164" s="21">
        <f>P18+P22+((P60+P110)*'Emission Factors and Constants'!$A$7/'Emission Factors and Constants'!$A$13)</f>
        <v>-997206.94099159352</v>
      </c>
      <c r="Q164" s="21">
        <f>Q18+Q22+((Q60+Q110)*'Emission Factors and Constants'!$A$7/'Emission Factors and Constants'!$A$13)</f>
        <v>-1052854.0381210074</v>
      </c>
      <c r="R164" s="21">
        <f>R18+R22+((R60+R110)*'Emission Factors and Constants'!$A$7/'Emission Factors and Constants'!$A$13)</f>
        <v>-1110604.2663165256</v>
      </c>
      <c r="S164" s="21">
        <f>S18+S22+((S60+S110)*'Emission Factors and Constants'!$A$7/'Emission Factors and Constants'!$A$13)</f>
        <v>-1171768.3868149603</v>
      </c>
      <c r="T164" s="21">
        <f>T18+T22+((T60+T110)*'Emission Factors and Constants'!$A$7/'Emission Factors and Constants'!$A$13)</f>
        <v>-1213637.8995705768</v>
      </c>
      <c r="U164" s="21">
        <f>U18+U22+((U60+U110)*'Emission Factors and Constants'!$A$7/'Emission Factors and Constants'!$A$13)</f>
        <v>-1253259.3244918063</v>
      </c>
      <c r="V164" s="21">
        <f>V18+V22+((V60+V110)*'Emission Factors and Constants'!$A$7/'Emission Factors and Constants'!$A$13)</f>
        <v>-1291641.6830889229</v>
      </c>
      <c r="W164" s="21">
        <f>W18+W22+((W60+W110)*'Emission Factors and Constants'!$A$7/'Emission Factors and Constants'!$A$13)</f>
        <v>-1329691.3587105907</v>
      </c>
      <c r="X164" s="21">
        <f>X18+X22+((X60+X110)*'Emission Factors and Constants'!$A$7/'Emission Factors and Constants'!$A$13)</f>
        <v>-1367212.6560581345</v>
      </c>
      <c r="Y164" s="21">
        <f>Y18+Y22+((Y60+Y110)*'Emission Factors and Constants'!$A$7/'Emission Factors and Constants'!$A$13)</f>
        <v>-1408075.0287688617</v>
      </c>
      <c r="Z164" s="21">
        <f>Z18+Z22+((Z60+Z110)*'Emission Factors and Constants'!$A$7/'Emission Factors and Constants'!$A$13)</f>
        <v>-1452024.5243612342</v>
      </c>
      <c r="AA164" s="21">
        <f>AA18+AA22+((AA60+AA110)*'Emission Factors and Constants'!$A$7/'Emission Factors and Constants'!$A$13)</f>
        <v>-1499052.1151040886</v>
      </c>
      <c r="AB164" s="21">
        <f>AB18+AB22+((AB60+AB110)*'Emission Factors and Constants'!$A$7/'Emission Factors and Constants'!$A$13)</f>
        <v>-1550351.6864643153</v>
      </c>
      <c r="AC164" s="21">
        <f>AC18+AC22+((AC60+AC110)*'Emission Factors and Constants'!$A$7/'Emission Factors and Constants'!$A$13)</f>
        <v>-1621587.589567598</v>
      </c>
      <c r="AD164" s="270"/>
      <c r="AE164" s="270"/>
      <c r="AG164" s="264"/>
    </row>
    <row r="165" spans="1:52" x14ac:dyDescent="0.7">
      <c r="A165" s="170" t="s">
        <v>429</v>
      </c>
      <c r="B165" s="21">
        <f>B28+B32+((B84+B129)*'Emission Factors and Constants'!$A$7/'Emission Factors and Constants'!$A$13)</f>
        <v>0</v>
      </c>
      <c r="C165" s="21">
        <f>C28+C32+((C84+C129)*'Emission Factors and Constants'!$A$7/'Emission Factors and Constants'!$A$13)</f>
        <v>208349.35819254653</v>
      </c>
      <c r="D165" s="21">
        <f>D28+D32+((D84+D129)*'Emission Factors and Constants'!$A$7/'Emission Factors and Constants'!$A$13)</f>
        <v>414934.9778583165</v>
      </c>
      <c r="E165" s="21">
        <f>E28+E32+((E84+E129)*'Emission Factors and Constants'!$A$7/'Emission Factors and Constants'!$A$13)</f>
        <v>620254.80429741042</v>
      </c>
      <c r="F165" s="21">
        <f>F28+F32+((F84+F129)*'Emission Factors and Constants'!$A$7/'Emission Factors and Constants'!$A$13)</f>
        <v>824178.96847128286</v>
      </c>
      <c r="G165" s="21">
        <f>G28+G32+((G84+G129)*'Emission Factors and Constants'!$A$7/'Emission Factors and Constants'!$A$13)</f>
        <v>1026650.4384833775</v>
      </c>
      <c r="H165" s="21">
        <f>H28+H32+((H84+H129)*'Emission Factors and Constants'!$A$7/'Emission Factors and Constants'!$A$13)</f>
        <v>1227595.7576681648</v>
      </c>
      <c r="I165" s="21">
        <f>I28+I32+((I84+I129)*'Emission Factors and Constants'!$A$7/'Emission Factors and Constants'!$A$13)</f>
        <v>1426873.1061740229</v>
      </c>
      <c r="J165" s="21">
        <f>J28+J32+((J84+J129)*'Emission Factors and Constants'!$A$7/'Emission Factors and Constants'!$A$13)</f>
        <v>1622449.4786044224</v>
      </c>
      <c r="K165" s="21">
        <f>K28+K32+((K84+K129)*'Emission Factors and Constants'!$A$7/'Emission Factors and Constants'!$A$13)</f>
        <v>1814189.6141269258</v>
      </c>
      <c r="L165" s="21">
        <f>L28+L32+((L84+L129)*'Emission Factors and Constants'!$A$7/'Emission Factors and Constants'!$A$13)</f>
        <v>2002060.852669552</v>
      </c>
      <c r="M165" s="21">
        <f>M28+M32+((M84+M129)*'Emission Factors and Constants'!$A$7/'Emission Factors and Constants'!$A$13)</f>
        <v>2186079.6883149385</v>
      </c>
      <c r="N165" s="21">
        <f>N28+N32+((N84+N129)*'Emission Factors and Constants'!$A$7/'Emission Factors and Constants'!$A$13)</f>
        <v>2366366.9553326038</v>
      </c>
      <c r="O165" s="21">
        <f>O28+O32+((O84+O129)*'Emission Factors and Constants'!$A$7/'Emission Factors and Constants'!$A$13)</f>
        <v>2544285.9614441069</v>
      </c>
      <c r="P165" s="21">
        <f>P28+P32+((P84+P129)*'Emission Factors and Constants'!$A$7/'Emission Factors and Constants'!$A$13)</f>
        <v>2720118.2703757519</v>
      </c>
      <c r="Q165" s="21">
        <f>Q28+Q32+((Q84+Q129)*'Emission Factors and Constants'!$A$7/'Emission Factors and Constants'!$A$13)</f>
        <v>2935345.1392836086</v>
      </c>
      <c r="R165" s="21">
        <f>R28+R32+((R84+R129)*'Emission Factors and Constants'!$A$7/'Emission Factors and Constants'!$A$13)</f>
        <v>3148820.5968455449</v>
      </c>
      <c r="S165" s="21">
        <f>S28+S32+((S84+S129)*'Emission Factors and Constants'!$A$7/'Emission Factors and Constants'!$A$13)</f>
        <v>3360470.3938512234</v>
      </c>
      <c r="T165" s="21">
        <f>T28+T32+((T84+T129)*'Emission Factors and Constants'!$A$7/'Emission Factors and Constants'!$A$13)</f>
        <v>3596585.0660430714</v>
      </c>
      <c r="U165" s="21">
        <f>U28+U32+((U84+U129)*'Emission Factors and Constants'!$A$7/'Emission Factors and Constants'!$A$13)</f>
        <v>3837789.6244476689</v>
      </c>
      <c r="V165" s="21">
        <f>V28+V32+((V84+V129)*'Emission Factors and Constants'!$A$7/'Emission Factors and Constants'!$A$13)</f>
        <v>4084101.4193225717</v>
      </c>
      <c r="W165" s="21">
        <f>W28+W32+((W84+W129)*'Emission Factors and Constants'!$A$7/'Emission Factors and Constants'!$A$13)</f>
        <v>4335806.2842439227</v>
      </c>
      <c r="X165" s="21">
        <f>X28+X32+((X84+X129)*'Emission Factors and Constants'!$A$7/'Emission Factors and Constants'!$A$13)</f>
        <v>4592858.7271749564</v>
      </c>
      <c r="Y165" s="21">
        <f>Y28+Y32+((Y84+Y129)*'Emission Factors and Constants'!$A$7/'Emission Factors and Constants'!$A$13)</f>
        <v>4852693.0767718181</v>
      </c>
      <c r="Z165" s="21">
        <f>Z28+Z32+((Z84+Z129)*'Emission Factors and Constants'!$A$7/'Emission Factors and Constants'!$A$13)</f>
        <v>5115306.8300655978</v>
      </c>
      <c r="AA165" s="21">
        <f>AA28+AA32+((AA84+AA129)*'Emission Factors and Constants'!$A$7/'Emission Factors and Constants'!$A$13)</f>
        <v>5380840.4536402859</v>
      </c>
      <c r="AB165" s="21">
        <f>AB28+AB32+((AB84+AB129)*'Emission Factors and Constants'!$A$7/'Emission Factors and Constants'!$A$13)</f>
        <v>5649150.9903536458</v>
      </c>
      <c r="AC165" s="21">
        <f>AC28+AC32+((AC84+AC129)*'Emission Factors and Constants'!$A$7/'Emission Factors and Constants'!$A$13)</f>
        <v>5920421.8728745412</v>
      </c>
      <c r="AD165" s="270"/>
      <c r="AE165" s="270"/>
      <c r="AG165" s="264"/>
    </row>
    <row r="166" spans="1:52" x14ac:dyDescent="0.7">
      <c r="A166" s="170" t="s">
        <v>453</v>
      </c>
      <c r="B166" s="21">
        <f>(B106+B56)/'Emission Factors and Constants'!$A$15</f>
        <v>0</v>
      </c>
      <c r="C166" s="21">
        <f>(C106+C56)/'Emission Factors and Constants'!$A$15</f>
        <v>28965.667846061478</v>
      </c>
      <c r="D166" s="21">
        <f>(D106+D56)/'Emission Factors and Constants'!$A$15</f>
        <v>29742.90691605637</v>
      </c>
      <c r="E166" s="21">
        <f>(E106+E56)/'Emission Factors and Constants'!$A$15</f>
        <v>30559.831265022884</v>
      </c>
      <c r="F166" s="21">
        <f>(F106+F56)/'Emission Factors and Constants'!$A$15</f>
        <v>31523.932765901867</v>
      </c>
      <c r="G166" s="21">
        <f>(G106+G56)/'Emission Factors and Constants'!$A$15</f>
        <v>32546.095710352238</v>
      </c>
      <c r="H166" s="21">
        <f>(H106+H56)/'Emission Factors and Constants'!$A$15</f>
        <v>33642.850469485325</v>
      </c>
      <c r="I166" s="21">
        <f>(I106+I56)/'Emission Factors and Constants'!$A$15</f>
        <v>34747.633277387533</v>
      </c>
      <c r="J166" s="21">
        <f>(J106+J56)/'Emission Factors and Constants'!$A$15</f>
        <v>35748.426484061645</v>
      </c>
      <c r="K166" s="21">
        <f>(K106+K56)/'Emission Factors and Constants'!$A$15</f>
        <v>36548.925971483332</v>
      </c>
      <c r="L166" s="21">
        <f>(L106+L56)/'Emission Factors and Constants'!$A$15</f>
        <v>37414.000519021261</v>
      </c>
      <c r="M166" s="21">
        <f>(M106+M56)/'Emission Factors and Constants'!$A$15</f>
        <v>38169.530822308174</v>
      </c>
      <c r="N166" s="21">
        <f>(N106+N56)/'Emission Factors and Constants'!$A$15</f>
        <v>38714.405727522972</v>
      </c>
      <c r="O166" s="21">
        <f>(O106+O56)/'Emission Factors and Constants'!$A$15</f>
        <v>38900.475513865407</v>
      </c>
      <c r="P166" s="21">
        <f>(P106+P56)/'Emission Factors and Constants'!$A$15</f>
        <v>33781.420964373348</v>
      </c>
      <c r="Q166" s="21">
        <f>(Q106+Q56)/'Emission Factors and Constants'!$A$15</f>
        <v>33972.993682094173</v>
      </c>
      <c r="R166" s="21">
        <f>(R106+R56)/'Emission Factors and Constants'!$A$15</f>
        <v>34146.767353732124</v>
      </c>
      <c r="S166" s="21">
        <f>(S106+S56)/'Emission Factors and Constants'!$A$15</f>
        <v>34397.041652178108</v>
      </c>
      <c r="T166" s="21">
        <f>(T106+T56)/'Emission Factors and Constants'!$A$15</f>
        <v>34435.428685302664</v>
      </c>
      <c r="U166" s="21">
        <f>(U106+U56)/'Emission Factors and Constants'!$A$15</f>
        <v>34506.026819823375</v>
      </c>
      <c r="V166" s="21">
        <f>(V106+V56)/'Emission Factors and Constants'!$A$15</f>
        <v>34639.781585209363</v>
      </c>
      <c r="W166" s="21">
        <f>(W106+W56)/'Emission Factors and Constants'!$A$15</f>
        <v>34831.09680673269</v>
      </c>
      <c r="X166" s="21">
        <f>(X106+X56)/'Emission Factors and Constants'!$A$15</f>
        <v>35009.268149614938</v>
      </c>
      <c r="Y166" s="21">
        <f>(Y106+Y56)/'Emission Factors and Constants'!$A$15</f>
        <v>35444.731069119589</v>
      </c>
      <c r="Z166" s="21">
        <f>(Z106+Z56)/'Emission Factors and Constants'!$A$15</f>
        <v>35856.410561474295</v>
      </c>
      <c r="AA166" s="21">
        <f>(AA106+AA56)/'Emission Factors and Constants'!$A$15</f>
        <v>36269.173403996232</v>
      </c>
      <c r="AB166" s="21">
        <f>(AB106+AB56)/'Emission Factors and Constants'!$A$15</f>
        <v>36761.039406128031</v>
      </c>
      <c r="AC166" s="21">
        <f>(AC106+AC56)/'Emission Factors and Constants'!$A$15</f>
        <v>38270.072988468266</v>
      </c>
      <c r="AG166" s="264"/>
    </row>
    <row r="167" spans="1:52" x14ac:dyDescent="0.7">
      <c r="A167" s="170" t="s">
        <v>454</v>
      </c>
      <c r="B167" s="21">
        <f>B85/'Emission Factors and Constants'!$A$15</f>
        <v>0</v>
      </c>
      <c r="C167" s="21">
        <f>C85/'Emission Factors and Constants'!$A$15</f>
        <v>-974.339595992726</v>
      </c>
      <c r="D167" s="21">
        <f>D85/'Emission Factors and Constants'!$A$15</f>
        <v>-1946.9313150865303</v>
      </c>
      <c r="E167" s="21">
        <f>E85/'Emission Factors and Constants'!$A$15</f>
        <v>-2916.1506997960059</v>
      </c>
      <c r="F167" s="21">
        <f>F85/'Emission Factors and Constants'!$A$15</f>
        <v>-3882.1490223582591</v>
      </c>
      <c r="G167" s="21">
        <f>G85/'Emission Factors and Constants'!$A$15</f>
        <v>-4844.8226164361267</v>
      </c>
      <c r="H167" s="21">
        <f>H85/'Emission Factors and Constants'!$A$15</f>
        <v>-5804.0959423601253</v>
      </c>
      <c r="I167" s="21">
        <f>I85/'Emission Factors and Constants'!$A$15</f>
        <v>-6760.1084154140608</v>
      </c>
      <c r="J167" s="21">
        <f>J85/'Emission Factors and Constants'!$A$15</f>
        <v>-7720.7373467511925</v>
      </c>
      <c r="K167" s="21">
        <f>K85/'Emission Factors and Constants'!$A$15</f>
        <v>-8686.2253975701897</v>
      </c>
      <c r="L167" s="21">
        <f>L85/'Emission Factors and Constants'!$A$15</f>
        <v>-9656.6714675744679</v>
      </c>
      <c r="M167" s="21">
        <f>M85/'Emission Factors and Constants'!$A$15</f>
        <v>-10632.167519452696</v>
      </c>
      <c r="N167" s="21">
        <f>N85/'Emission Factors and Constants'!$A$15</f>
        <v>-11612.602270003499</v>
      </c>
      <c r="O167" s="21">
        <f>O85/'Emission Factors and Constants'!$A$15</f>
        <v>-12594.486868923041</v>
      </c>
      <c r="P167" s="21">
        <f>P85/'Emission Factors and Constants'!$A$15</f>
        <v>-13577.321666799256</v>
      </c>
      <c r="Q167" s="21">
        <f>Q85/'Emission Factors and Constants'!$A$15</f>
        <v>-14448.26514565955</v>
      </c>
      <c r="R167" s="21">
        <f>R85/'Emission Factors and Constants'!$A$15</f>
        <v>-15320.099926056291</v>
      </c>
      <c r="S167" s="21">
        <f>S85/'Emission Factors and Constants'!$A$15</f>
        <v>-16193.179065894448</v>
      </c>
      <c r="T167" s="21">
        <f>T85/'Emission Factors and Constants'!$A$15</f>
        <v>-17059.974592938757</v>
      </c>
      <c r="U167" s="21">
        <f>U85/'Emission Factors and Constants'!$A$15</f>
        <v>-17920.46696195615</v>
      </c>
      <c r="V167" s="21">
        <f>V85/'Emission Factors and Constants'!$A$15</f>
        <v>-18774.769288560838</v>
      </c>
      <c r="W167" s="21">
        <f>W85/'Emission Factors and Constants'!$A$15</f>
        <v>-19622.256612457051</v>
      </c>
      <c r="X167" s="21">
        <f>X85/'Emission Factors and Constants'!$A$15</f>
        <v>-20463.181073008698</v>
      </c>
      <c r="Y167" s="21">
        <f>Y85/'Emission Factors and Constants'!$A$15</f>
        <v>-21304.392436277205</v>
      </c>
      <c r="Z167" s="21">
        <f>Z85/'Emission Factors and Constants'!$A$15</f>
        <v>-22146.122237798445</v>
      </c>
      <c r="AA167" s="21">
        <f>AA85/'Emission Factors and Constants'!$A$15</f>
        <v>-22988.054901589887</v>
      </c>
      <c r="AB167" s="21">
        <f>AB85/'Emission Factors and Constants'!$A$15</f>
        <v>-23830.626844076916</v>
      </c>
      <c r="AC167" s="21">
        <f>AC85/'Emission Factors and Constants'!$A$15</f>
        <v>-24673.408806138086</v>
      </c>
    </row>
    <row r="168" spans="1:52" x14ac:dyDescent="0.7">
      <c r="C168" s="264"/>
      <c r="D168" s="264"/>
      <c r="E168" s="264"/>
      <c r="F168" s="264"/>
      <c r="G168" s="264"/>
      <c r="H168" s="264"/>
      <c r="I168" s="264"/>
      <c r="J168" s="264"/>
      <c r="K168" s="264"/>
      <c r="L168" s="264"/>
      <c r="M168" s="264"/>
      <c r="N168" s="264"/>
      <c r="O168" s="264"/>
      <c r="P168" s="264"/>
      <c r="Q168" s="264"/>
      <c r="R168" s="264"/>
      <c r="S168" s="264"/>
      <c r="T168" s="264"/>
      <c r="U168" s="264"/>
      <c r="V168" s="264"/>
      <c r="W168" s="264"/>
      <c r="X168" s="264"/>
      <c r="Y168" s="264"/>
      <c r="Z168" s="264"/>
      <c r="AA168" s="264"/>
      <c r="AB168" s="264"/>
      <c r="AC168" s="264"/>
    </row>
    <row r="169" spans="1:52" s="16" customFormat="1" ht="30" customHeight="1" x14ac:dyDescent="0.3">
      <c r="A169" s="253" t="s">
        <v>66</v>
      </c>
      <c r="B169" s="254"/>
      <c r="C169" s="254"/>
      <c r="D169" s="254"/>
      <c r="E169" s="254"/>
      <c r="F169" s="254"/>
      <c r="G169" s="255"/>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row>
    <row r="170" spans="1:52" s="16" customFormat="1" ht="30" customHeight="1" x14ac:dyDescent="0.3">
      <c r="A170" s="467" t="s">
        <v>354</v>
      </c>
      <c r="B170" s="468"/>
      <c r="C170" s="468"/>
      <c r="D170" s="468"/>
      <c r="E170" s="468"/>
      <c r="F170" s="468"/>
      <c r="G170" s="469"/>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row>
    <row r="171" spans="1:52" ht="24" customHeight="1" x14ac:dyDescent="0.7">
      <c r="A171" s="510" t="s">
        <v>302</v>
      </c>
      <c r="B171" s="510"/>
      <c r="C171" s="510"/>
      <c r="D171" s="510"/>
      <c r="E171" s="510"/>
      <c r="F171" s="510"/>
      <c r="G171" s="510"/>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row>
    <row r="172" spans="1:52" ht="24" x14ac:dyDescent="0.7">
      <c r="A172" s="56" t="s">
        <v>125</v>
      </c>
      <c r="B172" s="84" t="s">
        <v>3</v>
      </c>
      <c r="C172" s="470" t="s">
        <v>306</v>
      </c>
      <c r="D172" s="472"/>
      <c r="E172" s="470" t="s">
        <v>25</v>
      </c>
      <c r="F172" s="471"/>
      <c r="G172" s="472"/>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row>
    <row r="173" spans="1:52" ht="77.099999999999994" customHeight="1" x14ac:dyDescent="0.7">
      <c r="A173" s="147" t="s">
        <v>303</v>
      </c>
      <c r="B173" s="146">
        <v>0.01</v>
      </c>
      <c r="C173" s="511" t="s">
        <v>533</v>
      </c>
      <c r="D173" s="511"/>
      <c r="E173" s="460" t="s">
        <v>534</v>
      </c>
      <c r="F173" s="460"/>
      <c r="G173" s="460"/>
      <c r="H173" s="36"/>
      <c r="I173" s="36"/>
      <c r="J173" s="36"/>
      <c r="K173" s="36"/>
      <c r="L173" s="36"/>
      <c r="M173" s="36"/>
      <c r="N173" s="36"/>
      <c r="O173" s="36"/>
      <c r="P173" s="36"/>
      <c r="Q173" s="36"/>
      <c r="R173" s="36"/>
      <c r="S173" s="36"/>
      <c r="T173" s="36"/>
      <c r="U173" s="264"/>
      <c r="V173" s="264"/>
      <c r="W173" s="264"/>
      <c r="X173" s="264"/>
      <c r="Y173" s="264"/>
      <c r="Z173" s="264"/>
      <c r="AA173" s="264"/>
    </row>
    <row r="174" spans="1:52" ht="174" customHeight="1" x14ac:dyDescent="0.7">
      <c r="A174" s="147" t="s">
        <v>304</v>
      </c>
      <c r="B174" s="146">
        <v>0.9</v>
      </c>
      <c r="C174" s="458" t="s">
        <v>531</v>
      </c>
      <c r="D174" s="458"/>
      <c r="E174" s="460" t="s">
        <v>532</v>
      </c>
      <c r="F174" s="460"/>
      <c r="G174" s="460"/>
    </row>
    <row r="175" spans="1:52" ht="24" x14ac:dyDescent="0.7">
      <c r="A175" s="507" t="s">
        <v>310</v>
      </c>
      <c r="B175" s="508"/>
      <c r="C175" s="508"/>
      <c r="D175" s="508"/>
      <c r="E175" s="508"/>
      <c r="F175" s="508"/>
      <c r="G175" s="509"/>
    </row>
    <row r="176" spans="1:52" x14ac:dyDescent="0.7">
      <c r="A176" s="148" t="s">
        <v>305</v>
      </c>
      <c r="B176" s="148" t="s">
        <v>3</v>
      </c>
      <c r="C176" s="470" t="s">
        <v>306</v>
      </c>
      <c r="D176" s="472"/>
      <c r="E176" s="470" t="s">
        <v>25</v>
      </c>
      <c r="F176" s="471"/>
      <c r="G176" s="472"/>
    </row>
    <row r="177" spans="1:7" ht="106.5" customHeight="1" x14ac:dyDescent="0.7">
      <c r="A177" s="124" t="s">
        <v>308</v>
      </c>
      <c r="B177" s="149">
        <v>34.601375708683015</v>
      </c>
      <c r="C177" s="483" t="s">
        <v>337</v>
      </c>
      <c r="D177" s="484"/>
      <c r="E177" s="461" t="s">
        <v>307</v>
      </c>
      <c r="F177" s="487"/>
      <c r="G177" s="462"/>
    </row>
    <row r="178" spans="1:7" ht="106.5" customHeight="1" x14ac:dyDescent="0.7">
      <c r="A178" s="124" t="s">
        <v>309</v>
      </c>
      <c r="B178" s="149">
        <v>48.268673003085148</v>
      </c>
      <c r="C178" s="485"/>
      <c r="D178" s="486"/>
      <c r="E178" s="465"/>
      <c r="F178" s="488"/>
      <c r="G178" s="466"/>
    </row>
    <row r="179" spans="1:7" ht="106.5" customHeight="1" x14ac:dyDescent="0.7">
      <c r="A179" s="124" t="s">
        <v>699</v>
      </c>
      <c r="B179" s="157">
        <v>9.5128589136575153E-2</v>
      </c>
      <c r="C179" s="483" t="s">
        <v>689</v>
      </c>
      <c r="D179" s="484"/>
      <c r="E179" s="461" t="s">
        <v>690</v>
      </c>
      <c r="F179" s="487"/>
      <c r="G179" s="462"/>
    </row>
    <row r="180" spans="1:7" ht="106.5" customHeight="1" x14ac:dyDescent="0.7">
      <c r="A180" s="124" t="s">
        <v>700</v>
      </c>
      <c r="B180" s="158">
        <v>9.9313269969148549E-2</v>
      </c>
      <c r="C180" s="485"/>
      <c r="D180" s="486"/>
      <c r="E180" s="465"/>
      <c r="F180" s="488"/>
      <c r="G180" s="466"/>
    </row>
    <row r="181" spans="1:7" ht="24" x14ac:dyDescent="0.7">
      <c r="A181" s="507" t="s">
        <v>318</v>
      </c>
      <c r="B181" s="508"/>
      <c r="C181" s="508"/>
      <c r="D181" s="508"/>
      <c r="E181" s="508"/>
      <c r="F181" s="508"/>
      <c r="G181" s="509"/>
    </row>
    <row r="182" spans="1:7" x14ac:dyDescent="0.7">
      <c r="A182" s="148" t="s">
        <v>305</v>
      </c>
      <c r="B182" s="148" t="s">
        <v>3</v>
      </c>
      <c r="C182" s="470" t="s">
        <v>306</v>
      </c>
      <c r="D182" s="472"/>
      <c r="E182" s="470" t="s">
        <v>25</v>
      </c>
      <c r="F182" s="471"/>
      <c r="G182" s="472"/>
    </row>
    <row r="183" spans="1:7" ht="106.5" customHeight="1" x14ac:dyDescent="0.7">
      <c r="A183" s="124" t="s">
        <v>582</v>
      </c>
      <c r="B183" s="149">
        <f>12.8068544129247*'Emission Factors and Constants'!$A$12</f>
        <v>43.698805830225709</v>
      </c>
      <c r="C183" s="512" t="s">
        <v>347</v>
      </c>
      <c r="D183" s="512"/>
      <c r="E183" s="461" t="s">
        <v>345</v>
      </c>
      <c r="F183" s="487"/>
      <c r="G183" s="462"/>
    </row>
    <row r="184" spans="1:7" ht="106.5" customHeight="1" x14ac:dyDescent="0.7">
      <c r="A184" s="124" t="s">
        <v>343</v>
      </c>
      <c r="B184" s="162">
        <v>1782.147770700637</v>
      </c>
      <c r="C184" s="513" t="s">
        <v>344</v>
      </c>
      <c r="D184" s="514"/>
      <c r="E184" s="465"/>
      <c r="F184" s="488"/>
      <c r="G184" s="466"/>
    </row>
    <row r="185" spans="1:7" ht="106.5" customHeight="1" x14ac:dyDescent="0.7">
      <c r="A185" s="124" t="s">
        <v>320</v>
      </c>
      <c r="B185" s="149">
        <f>19.9048102101505*'Emission Factors and Constants'!$A$12</f>
        <v>67.918038920083347</v>
      </c>
      <c r="C185" s="512" t="s">
        <v>341</v>
      </c>
      <c r="D185" s="512"/>
      <c r="E185" s="460" t="s">
        <v>342</v>
      </c>
      <c r="F185" s="460"/>
      <c r="G185" s="460"/>
    </row>
    <row r="186" spans="1:7" ht="24" x14ac:dyDescent="0.7">
      <c r="A186" s="507" t="s">
        <v>313</v>
      </c>
      <c r="B186" s="508"/>
      <c r="C186" s="508"/>
      <c r="D186" s="508"/>
      <c r="E186" s="508"/>
      <c r="F186" s="508"/>
      <c r="G186" s="509"/>
    </row>
    <row r="187" spans="1:7" x14ac:dyDescent="0.7">
      <c r="A187" s="148" t="s">
        <v>305</v>
      </c>
      <c r="B187" s="148" t="s">
        <v>3</v>
      </c>
      <c r="C187" s="470" t="s">
        <v>306</v>
      </c>
      <c r="D187" s="471"/>
      <c r="E187" s="471" t="s">
        <v>25</v>
      </c>
      <c r="F187" s="471"/>
      <c r="G187" s="472"/>
    </row>
    <row r="188" spans="1:7" ht="20.399999999999999" customHeight="1" x14ac:dyDescent="0.7">
      <c r="A188" s="124" t="s">
        <v>314</v>
      </c>
      <c r="B188" s="150">
        <v>0.64775387068469059</v>
      </c>
      <c r="C188" s="489" t="s">
        <v>346</v>
      </c>
      <c r="D188" s="489"/>
      <c r="E188" s="461" t="s">
        <v>345</v>
      </c>
      <c r="F188" s="487"/>
      <c r="G188" s="462"/>
    </row>
    <row r="189" spans="1:7" x14ac:dyDescent="0.7">
      <c r="A189" s="124" t="s">
        <v>315</v>
      </c>
      <c r="B189" s="151">
        <v>0.35224612931530946</v>
      </c>
      <c r="C189" s="489"/>
      <c r="D189" s="489"/>
      <c r="E189" s="465"/>
      <c r="F189" s="488"/>
      <c r="G189" s="466"/>
    </row>
    <row r="190" spans="1:7" ht="20.399999999999999" customHeight="1" x14ac:dyDescent="0.7">
      <c r="A190" s="124" t="s">
        <v>316</v>
      </c>
      <c r="B190" s="150">
        <v>0.68585302003796955</v>
      </c>
      <c r="C190" s="489" t="s">
        <v>319</v>
      </c>
      <c r="D190" s="489"/>
      <c r="E190" s="461" t="s">
        <v>342</v>
      </c>
      <c r="F190" s="487"/>
      <c r="G190" s="462"/>
    </row>
    <row r="191" spans="1:7" x14ac:dyDescent="0.7">
      <c r="A191" s="124" t="s">
        <v>317</v>
      </c>
      <c r="B191" s="151">
        <v>0.31414697996203056</v>
      </c>
      <c r="C191" s="489"/>
      <c r="D191" s="489"/>
      <c r="E191" s="465"/>
      <c r="F191" s="488"/>
      <c r="G191" s="466"/>
    </row>
    <row r="192" spans="1:7" ht="24" x14ac:dyDescent="0.7">
      <c r="A192" s="507" t="s">
        <v>325</v>
      </c>
      <c r="B192" s="508"/>
      <c r="C192" s="508"/>
      <c r="D192" s="508"/>
      <c r="E192" s="508"/>
      <c r="F192" s="508"/>
      <c r="G192" s="509"/>
    </row>
    <row r="193" spans="1:7" x14ac:dyDescent="0.7">
      <c r="A193" s="148" t="s">
        <v>305</v>
      </c>
      <c r="B193" s="148" t="s">
        <v>3</v>
      </c>
      <c r="C193" s="470" t="s">
        <v>306</v>
      </c>
      <c r="D193" s="471"/>
      <c r="E193" s="471" t="s">
        <v>25</v>
      </c>
      <c r="F193" s="471"/>
      <c r="G193" s="472"/>
    </row>
    <row r="194" spans="1:7" ht="44.25" customHeight="1" x14ac:dyDescent="0.7">
      <c r="A194" s="124" t="s">
        <v>326</v>
      </c>
      <c r="B194" s="150">
        <f>116/(386+104+146+239+116+48+31)</f>
        <v>0.10841121495327102</v>
      </c>
      <c r="C194" s="483" t="s">
        <v>321</v>
      </c>
      <c r="D194" s="484"/>
      <c r="E194" s="461" t="s">
        <v>328</v>
      </c>
      <c r="F194" s="487"/>
      <c r="G194" s="462"/>
    </row>
    <row r="195" spans="1:7" x14ac:dyDescent="0.7">
      <c r="A195" s="124" t="s">
        <v>327</v>
      </c>
      <c r="B195" s="151">
        <f>6911/7680</f>
        <v>0.8998697916666667</v>
      </c>
      <c r="C195" s="485"/>
      <c r="D195" s="486"/>
      <c r="E195" s="465"/>
      <c r="F195" s="488"/>
      <c r="G195" s="466"/>
    </row>
    <row r="196" spans="1:7" ht="24" x14ac:dyDescent="0.7">
      <c r="A196" s="467" t="s">
        <v>355</v>
      </c>
      <c r="B196" s="468"/>
      <c r="C196" s="468"/>
      <c r="D196" s="468"/>
      <c r="E196" s="468"/>
      <c r="F196" s="468"/>
      <c r="G196" s="469"/>
    </row>
    <row r="197" spans="1:7" ht="24" x14ac:dyDescent="0.7">
      <c r="A197" s="507" t="s">
        <v>351</v>
      </c>
      <c r="B197" s="508"/>
      <c r="C197" s="508"/>
      <c r="D197" s="508"/>
      <c r="E197" s="508"/>
      <c r="F197" s="508"/>
      <c r="G197" s="509"/>
    </row>
    <row r="198" spans="1:7" x14ac:dyDescent="0.7">
      <c r="A198" s="148" t="s">
        <v>305</v>
      </c>
      <c r="B198" s="148" t="s">
        <v>3</v>
      </c>
      <c r="C198" s="470" t="s">
        <v>306</v>
      </c>
      <c r="D198" s="471"/>
      <c r="E198" s="472"/>
      <c r="F198" s="470" t="s">
        <v>25</v>
      </c>
      <c r="G198" s="472"/>
    </row>
    <row r="199" spans="1:7" ht="174.6" customHeight="1" x14ac:dyDescent="0.7">
      <c r="A199" s="164" t="s">
        <v>352</v>
      </c>
      <c r="B199" s="165">
        <v>14</v>
      </c>
      <c r="C199" s="529" t="s">
        <v>353</v>
      </c>
      <c r="D199" s="530"/>
      <c r="E199" s="531"/>
      <c r="F199" s="532" t="s">
        <v>658</v>
      </c>
      <c r="G199" s="533"/>
    </row>
    <row r="200" spans="1:7" x14ac:dyDescent="0.7">
      <c r="A200" s="171" t="s">
        <v>380</v>
      </c>
      <c r="B200" s="172">
        <v>0.8</v>
      </c>
      <c r="C200" s="477" t="s">
        <v>381</v>
      </c>
      <c r="D200" s="478"/>
      <c r="E200" s="479"/>
      <c r="F200" s="461" t="s">
        <v>382</v>
      </c>
      <c r="G200" s="462"/>
    </row>
    <row r="201" spans="1:7" x14ac:dyDescent="0.7">
      <c r="A201" s="159" t="s">
        <v>383</v>
      </c>
      <c r="B201" s="169">
        <v>1</v>
      </c>
      <c r="C201" s="480"/>
      <c r="D201" s="481"/>
      <c r="E201" s="482"/>
      <c r="F201" s="465"/>
      <c r="G201" s="466"/>
    </row>
    <row r="202" spans="1:7" x14ac:dyDescent="0.7">
      <c r="A202" s="164" t="s">
        <v>418</v>
      </c>
      <c r="B202" s="175">
        <v>0.59</v>
      </c>
      <c r="C202" s="477" t="s">
        <v>381</v>
      </c>
      <c r="D202" s="478"/>
      <c r="E202" s="479"/>
      <c r="F202" s="461" t="s">
        <v>382</v>
      </c>
      <c r="G202" s="462"/>
    </row>
    <row r="203" spans="1:7" x14ac:dyDescent="0.7">
      <c r="A203" s="176" t="s">
        <v>419</v>
      </c>
      <c r="B203" s="177">
        <v>0.92</v>
      </c>
      <c r="C203" s="524"/>
      <c r="D203" s="534"/>
      <c r="E203" s="525"/>
      <c r="F203" s="463"/>
      <c r="G203" s="464"/>
    </row>
    <row r="204" spans="1:7" ht="24" x14ac:dyDescent="0.7">
      <c r="A204" s="507" t="s">
        <v>324</v>
      </c>
      <c r="B204" s="508"/>
      <c r="C204" s="508"/>
      <c r="D204" s="508"/>
      <c r="E204" s="508"/>
      <c r="F204" s="508"/>
      <c r="G204" s="509"/>
    </row>
    <row r="205" spans="1:7" x14ac:dyDescent="0.7">
      <c r="A205" s="148" t="s">
        <v>305</v>
      </c>
      <c r="B205" s="148" t="s">
        <v>3</v>
      </c>
      <c r="C205" s="470" t="s">
        <v>306</v>
      </c>
      <c r="D205" s="471"/>
      <c r="E205" s="472"/>
      <c r="F205" s="470" t="s">
        <v>25</v>
      </c>
      <c r="G205" s="472"/>
    </row>
    <row r="206" spans="1:7" x14ac:dyDescent="0.7">
      <c r="A206" s="455" t="s">
        <v>340</v>
      </c>
      <c r="B206" s="456"/>
      <c r="C206" s="456"/>
      <c r="D206" s="456"/>
      <c r="E206" s="456"/>
      <c r="F206" s="456"/>
      <c r="G206" s="457"/>
    </row>
    <row r="207" spans="1:7" ht="40.799999999999997" x14ac:dyDescent="0.7">
      <c r="A207" s="164" t="s">
        <v>356</v>
      </c>
      <c r="B207" s="166">
        <v>24.7</v>
      </c>
      <c r="C207" s="477" t="s">
        <v>363</v>
      </c>
      <c r="D207" s="478"/>
      <c r="E207" s="479"/>
      <c r="F207" s="477" t="s">
        <v>357</v>
      </c>
      <c r="G207" s="479"/>
    </row>
    <row r="208" spans="1:7" ht="40.799999999999997" x14ac:dyDescent="0.7">
      <c r="A208" s="164" t="s">
        <v>358</v>
      </c>
      <c r="B208" s="167">
        <v>25.6</v>
      </c>
      <c r="C208" s="480"/>
      <c r="D208" s="481"/>
      <c r="E208" s="482"/>
      <c r="F208" s="480"/>
      <c r="G208" s="482"/>
    </row>
    <row r="209" spans="1:7" ht="40.799999999999997" x14ac:dyDescent="0.7">
      <c r="A209" s="164" t="s">
        <v>359</v>
      </c>
      <c r="B209" s="168">
        <v>4.5999999999999996</v>
      </c>
      <c r="C209" s="429" t="s">
        <v>364</v>
      </c>
      <c r="D209" s="430"/>
      <c r="E209" s="431"/>
      <c r="F209" s="473" t="s">
        <v>360</v>
      </c>
      <c r="G209" s="475"/>
    </row>
    <row r="210" spans="1:7" x14ac:dyDescent="0.7">
      <c r="A210" s="164" t="s">
        <v>365</v>
      </c>
      <c r="B210" s="169">
        <f>5.77/9.22</f>
        <v>0.62581344902386105</v>
      </c>
      <c r="C210" s="515" t="s">
        <v>378</v>
      </c>
      <c r="D210" s="516"/>
      <c r="E210" s="517"/>
      <c r="F210" s="477" t="s">
        <v>369</v>
      </c>
      <c r="G210" s="479"/>
    </row>
    <row r="211" spans="1:7" x14ac:dyDescent="0.7">
      <c r="A211" s="164" t="s">
        <v>368</v>
      </c>
      <c r="B211" s="169">
        <f>0.33/9.22</f>
        <v>3.5791757049891543E-2</v>
      </c>
      <c r="C211" s="518"/>
      <c r="D211" s="519"/>
      <c r="E211" s="520"/>
      <c r="F211" s="524"/>
      <c r="G211" s="525"/>
    </row>
    <row r="212" spans="1:7" x14ac:dyDescent="0.7">
      <c r="A212" s="164" t="s">
        <v>361</v>
      </c>
      <c r="B212" s="169">
        <f>0.84/9.22</f>
        <v>9.1106290672451185E-2</v>
      </c>
      <c r="C212" s="518"/>
      <c r="D212" s="519"/>
      <c r="E212" s="520"/>
      <c r="F212" s="524"/>
      <c r="G212" s="525"/>
    </row>
    <row r="213" spans="1:7" x14ac:dyDescent="0.7">
      <c r="A213" s="164" t="s">
        <v>362</v>
      </c>
      <c r="B213" s="154">
        <f>(2.55-0.84)/9.22</f>
        <v>0.18546637744034705</v>
      </c>
      <c r="C213" s="521"/>
      <c r="D213" s="522"/>
      <c r="E213" s="523"/>
      <c r="F213" s="480"/>
      <c r="G213" s="482"/>
    </row>
    <row r="214" spans="1:7" x14ac:dyDescent="0.7">
      <c r="A214" s="455" t="s">
        <v>312</v>
      </c>
      <c r="B214" s="456"/>
      <c r="C214" s="456"/>
      <c r="D214" s="456"/>
      <c r="E214" s="456"/>
      <c r="F214" s="456"/>
      <c r="G214" s="457"/>
    </row>
    <row r="215" spans="1:7" ht="40.799999999999997" x14ac:dyDescent="0.7">
      <c r="A215" s="164" t="s">
        <v>400</v>
      </c>
      <c r="B215" s="166">
        <v>27.6</v>
      </c>
      <c r="C215" s="477" t="s">
        <v>401</v>
      </c>
      <c r="D215" s="478"/>
      <c r="E215" s="479"/>
      <c r="F215" s="473" t="s">
        <v>403</v>
      </c>
      <c r="G215" s="475"/>
    </row>
    <row r="216" spans="1:7" ht="41.1" customHeight="1" x14ac:dyDescent="0.7">
      <c r="A216" s="164" t="s">
        <v>405</v>
      </c>
      <c r="B216" s="166">
        <f>3.00640229017922*'Emission Factors and Constants'!$A$12</f>
        <v>10.258271523216703</v>
      </c>
      <c r="C216" s="477" t="s">
        <v>407</v>
      </c>
      <c r="D216" s="478"/>
      <c r="E216" s="479"/>
      <c r="F216" s="473" t="s">
        <v>342</v>
      </c>
      <c r="G216" s="475"/>
    </row>
    <row r="217" spans="1:7" ht="40.799999999999997" x14ac:dyDescent="0.7">
      <c r="A217" s="164" t="s">
        <v>402</v>
      </c>
      <c r="B217" s="167">
        <v>4.3</v>
      </c>
      <c r="C217" s="473" t="s">
        <v>399</v>
      </c>
      <c r="D217" s="474"/>
      <c r="E217" s="475"/>
      <c r="F217" s="473" t="s">
        <v>404</v>
      </c>
      <c r="G217" s="475"/>
    </row>
    <row r="218" spans="1:7" ht="20.399999999999999" customHeight="1" x14ac:dyDescent="0.7">
      <c r="A218" s="164" t="s">
        <v>365</v>
      </c>
      <c r="B218" s="169">
        <v>0.88482705497528336</v>
      </c>
      <c r="C218" s="515" t="s">
        <v>406</v>
      </c>
      <c r="D218" s="516"/>
      <c r="E218" s="517"/>
      <c r="F218" s="477" t="s">
        <v>342</v>
      </c>
      <c r="G218" s="479"/>
    </row>
    <row r="219" spans="1:7" x14ac:dyDescent="0.7">
      <c r="A219" s="164" t="s">
        <v>368</v>
      </c>
      <c r="B219" s="169">
        <v>3.0568634398512852E-2</v>
      </c>
      <c r="C219" s="518"/>
      <c r="D219" s="519"/>
      <c r="E219" s="520"/>
      <c r="F219" s="524"/>
      <c r="G219" s="525"/>
    </row>
    <row r="220" spans="1:7" x14ac:dyDescent="0.7">
      <c r="A220" s="164" t="s">
        <v>361</v>
      </c>
      <c r="B220" s="169">
        <v>2.3865018287549906E-2</v>
      </c>
      <c r="C220" s="518"/>
      <c r="D220" s="519"/>
      <c r="E220" s="520"/>
      <c r="F220" s="524"/>
      <c r="G220" s="525"/>
    </row>
    <row r="221" spans="1:7" x14ac:dyDescent="0.7">
      <c r="A221" s="164" t="s">
        <v>362</v>
      </c>
      <c r="B221" s="154">
        <v>6.0739292338653834E-2</v>
      </c>
      <c r="C221" s="521"/>
      <c r="D221" s="522"/>
      <c r="E221" s="523"/>
      <c r="F221" s="480"/>
      <c r="G221" s="482"/>
    </row>
    <row r="222" spans="1:7" ht="24" x14ac:dyDescent="0.7">
      <c r="A222" s="507" t="s">
        <v>409</v>
      </c>
      <c r="B222" s="508"/>
      <c r="C222" s="508"/>
      <c r="D222" s="508"/>
      <c r="E222" s="508"/>
      <c r="F222" s="508"/>
      <c r="G222" s="509"/>
    </row>
    <row r="223" spans="1:7" x14ac:dyDescent="0.7">
      <c r="A223" s="148" t="s">
        <v>305</v>
      </c>
      <c r="B223" s="148" t="s">
        <v>3</v>
      </c>
      <c r="C223" s="470" t="s">
        <v>306</v>
      </c>
      <c r="D223" s="471"/>
      <c r="E223" s="472"/>
      <c r="F223" s="470" t="s">
        <v>25</v>
      </c>
      <c r="G223" s="472"/>
    </row>
    <row r="224" spans="1:7" x14ac:dyDescent="0.7">
      <c r="A224" s="455" t="s">
        <v>340</v>
      </c>
      <c r="B224" s="456"/>
      <c r="C224" s="456"/>
      <c r="D224" s="456"/>
      <c r="E224" s="456"/>
      <c r="F224" s="456"/>
      <c r="G224" s="457"/>
    </row>
    <row r="225" spans="1:7" ht="40.799999999999997" x14ac:dyDescent="0.7">
      <c r="A225" s="164" t="s">
        <v>411</v>
      </c>
      <c r="B225" s="166">
        <v>16.7</v>
      </c>
      <c r="C225" s="477" t="s">
        <v>363</v>
      </c>
      <c r="D225" s="478"/>
      <c r="E225" s="479"/>
      <c r="F225" s="477" t="s">
        <v>357</v>
      </c>
      <c r="G225" s="479"/>
    </row>
    <row r="226" spans="1:7" ht="40.799999999999997" x14ac:dyDescent="0.7">
      <c r="A226" s="164" t="s">
        <v>412</v>
      </c>
      <c r="B226" s="167">
        <v>17</v>
      </c>
      <c r="C226" s="480"/>
      <c r="D226" s="481"/>
      <c r="E226" s="482"/>
      <c r="F226" s="480"/>
      <c r="G226" s="482"/>
    </row>
    <row r="227" spans="1:7" ht="40.799999999999997" x14ac:dyDescent="0.7">
      <c r="A227" s="164" t="s">
        <v>413</v>
      </c>
      <c r="B227" s="168">
        <v>8</v>
      </c>
      <c r="C227" s="473" t="s">
        <v>364</v>
      </c>
      <c r="D227" s="474"/>
      <c r="E227" s="475"/>
      <c r="F227" s="473" t="s">
        <v>360</v>
      </c>
      <c r="G227" s="475"/>
    </row>
    <row r="228" spans="1:7" x14ac:dyDescent="0.7">
      <c r="A228" s="164" t="s">
        <v>414</v>
      </c>
      <c r="B228" s="169">
        <f>2.4/4.57</f>
        <v>0.52516411378555794</v>
      </c>
      <c r="C228" s="515" t="s">
        <v>415</v>
      </c>
      <c r="D228" s="516"/>
      <c r="E228" s="517"/>
      <c r="F228" s="477" t="s">
        <v>369</v>
      </c>
      <c r="G228" s="479"/>
    </row>
    <row r="229" spans="1:7" x14ac:dyDescent="0.7">
      <c r="A229" s="164" t="s">
        <v>416</v>
      </c>
      <c r="B229" s="169">
        <f>0.22/4.57</f>
        <v>4.8140043763676144E-2</v>
      </c>
      <c r="C229" s="518"/>
      <c r="D229" s="519"/>
      <c r="E229" s="520"/>
      <c r="F229" s="524"/>
      <c r="G229" s="525"/>
    </row>
    <row r="230" spans="1:7" x14ac:dyDescent="0.7">
      <c r="A230" s="164" t="s">
        <v>417</v>
      </c>
      <c r="B230" s="169">
        <f>1.95/4.57</f>
        <v>0.42669584245076581</v>
      </c>
      <c r="C230" s="521"/>
      <c r="D230" s="522"/>
      <c r="E230" s="523"/>
      <c r="F230" s="480"/>
      <c r="G230" s="482"/>
    </row>
    <row r="231" spans="1:7" x14ac:dyDescent="0.7">
      <c r="A231" s="455" t="s">
        <v>312</v>
      </c>
      <c r="B231" s="456"/>
      <c r="C231" s="456"/>
      <c r="D231" s="456"/>
      <c r="E231" s="456"/>
      <c r="F231" s="456"/>
      <c r="G231" s="457"/>
    </row>
    <row r="232" spans="1:7" ht="40.799999999999997" x14ac:dyDescent="0.7">
      <c r="A232" s="164" t="s">
        <v>420</v>
      </c>
      <c r="B232" s="166">
        <v>5.9</v>
      </c>
      <c r="C232" s="477" t="s">
        <v>401</v>
      </c>
      <c r="D232" s="478"/>
      <c r="E232" s="479"/>
      <c r="F232" s="473" t="s">
        <v>403</v>
      </c>
      <c r="G232" s="475"/>
    </row>
    <row r="233" spans="1:7" ht="40.799999999999997" x14ac:dyDescent="0.7">
      <c r="A233" s="164" t="s">
        <v>421</v>
      </c>
      <c r="B233" s="167">
        <v>2.2000000000000002</v>
      </c>
      <c r="C233" s="473" t="s">
        <v>399</v>
      </c>
      <c r="D233" s="474"/>
      <c r="E233" s="475"/>
      <c r="F233" s="473" t="s">
        <v>404</v>
      </c>
      <c r="G233" s="475"/>
    </row>
    <row r="234" spans="1:7" x14ac:dyDescent="0.7">
      <c r="A234" s="164" t="s">
        <v>414</v>
      </c>
      <c r="B234" s="169">
        <v>0.62892588068457755</v>
      </c>
      <c r="C234" s="515" t="s">
        <v>406</v>
      </c>
      <c r="D234" s="516"/>
      <c r="E234" s="517"/>
      <c r="F234" s="477" t="s">
        <v>342</v>
      </c>
      <c r="G234" s="479"/>
    </row>
    <row r="235" spans="1:7" x14ac:dyDescent="0.7">
      <c r="A235" s="164" t="s">
        <v>417</v>
      </c>
      <c r="B235" s="154">
        <v>0.37107411931542245</v>
      </c>
      <c r="C235" s="521"/>
      <c r="D235" s="522"/>
      <c r="E235" s="523"/>
      <c r="F235" s="480"/>
      <c r="G235" s="482"/>
    </row>
    <row r="236" spans="1:7" ht="24" x14ac:dyDescent="0.7">
      <c r="A236" s="467" t="s">
        <v>551</v>
      </c>
      <c r="B236" s="468"/>
      <c r="C236" s="468"/>
      <c r="D236" s="468"/>
      <c r="E236" s="468"/>
      <c r="F236" s="468"/>
      <c r="G236" s="469"/>
    </row>
    <row r="237" spans="1:7" x14ac:dyDescent="0.7">
      <c r="A237" s="148" t="s">
        <v>305</v>
      </c>
      <c r="B237" s="148" t="s">
        <v>3</v>
      </c>
      <c r="C237" s="470" t="s">
        <v>306</v>
      </c>
      <c r="D237" s="471"/>
      <c r="E237" s="472"/>
      <c r="F237" s="470" t="s">
        <v>25</v>
      </c>
      <c r="G237" s="472"/>
    </row>
    <row r="238" spans="1:7" x14ac:dyDescent="0.7">
      <c r="A238" s="455" t="s">
        <v>340</v>
      </c>
      <c r="B238" s="456"/>
      <c r="C238" s="456"/>
      <c r="D238" s="456"/>
      <c r="E238" s="456"/>
      <c r="F238" s="456"/>
      <c r="G238" s="457"/>
    </row>
    <row r="239" spans="1:7" ht="85.5" customHeight="1" x14ac:dyDescent="0.7">
      <c r="A239" s="164" t="s">
        <v>583</v>
      </c>
      <c r="B239" s="157">
        <v>0.1503360274495936</v>
      </c>
      <c r="C239" s="536" t="s">
        <v>587</v>
      </c>
      <c r="D239" s="537"/>
      <c r="E239" s="538"/>
      <c r="F239" s="477" t="s">
        <v>586</v>
      </c>
      <c r="G239" s="479"/>
    </row>
    <row r="240" spans="1:7" ht="85.5" customHeight="1" x14ac:dyDescent="0.7">
      <c r="A240" s="164" t="s">
        <v>584</v>
      </c>
      <c r="B240" s="157">
        <v>0.53841688546164757</v>
      </c>
      <c r="C240" s="458" t="s">
        <v>588</v>
      </c>
      <c r="D240" s="458"/>
      <c r="E240" s="458"/>
      <c r="F240" s="524"/>
      <c r="G240" s="525"/>
    </row>
    <row r="241" spans="1:7" ht="85.5" customHeight="1" x14ac:dyDescent="0.7">
      <c r="A241" s="164" t="s">
        <v>585</v>
      </c>
      <c r="B241" s="169">
        <v>0.31124708708875887</v>
      </c>
      <c r="C241" s="458" t="s">
        <v>621</v>
      </c>
      <c r="D241" s="458"/>
      <c r="E241" s="458"/>
      <c r="F241" s="480"/>
      <c r="G241" s="482"/>
    </row>
    <row r="242" spans="1:7" ht="178.5" customHeight="1" x14ac:dyDescent="0.7">
      <c r="A242" s="164" t="s">
        <v>589</v>
      </c>
      <c r="B242" s="158">
        <f>AVERAGE(AVERAGE(2%,2.5%))</f>
        <v>2.2499999999999999E-2</v>
      </c>
      <c r="C242" s="477" t="s">
        <v>590</v>
      </c>
      <c r="D242" s="478"/>
      <c r="E242" s="479"/>
      <c r="F242" s="461" t="s">
        <v>557</v>
      </c>
      <c r="G242" s="462"/>
    </row>
    <row r="243" spans="1:7" ht="85.5" customHeight="1" x14ac:dyDescent="0.7">
      <c r="A243" s="164" t="s">
        <v>555</v>
      </c>
      <c r="B243" s="317">
        <f>AVERAGE(4%,5%)</f>
        <v>4.4999999999999998E-2</v>
      </c>
      <c r="C243" s="480"/>
      <c r="D243" s="481"/>
      <c r="E243" s="482"/>
      <c r="F243" s="463"/>
      <c r="G243" s="464"/>
    </row>
    <row r="244" spans="1:7" ht="85.5" customHeight="1" x14ac:dyDescent="0.7">
      <c r="A244" s="164" t="s">
        <v>556</v>
      </c>
      <c r="B244" s="318">
        <f>(B240/(B240+B241))*B243+(B241/(B241+B240))*B242</f>
        <v>3.6757848177937633E-2</v>
      </c>
      <c r="C244" s="458" t="s">
        <v>558</v>
      </c>
      <c r="D244" s="458"/>
      <c r="E244" s="458"/>
      <c r="F244" s="465"/>
      <c r="G244" s="466"/>
    </row>
    <row r="245" spans="1:7" ht="66.75" customHeight="1" x14ac:dyDescent="0.7">
      <c r="A245" s="164" t="s">
        <v>592</v>
      </c>
      <c r="B245" s="276">
        <f>AVERAGE(500,550)</f>
        <v>525</v>
      </c>
      <c r="C245" s="473" t="s">
        <v>552</v>
      </c>
      <c r="D245" s="474"/>
      <c r="E245" s="475"/>
      <c r="F245" s="460" t="s">
        <v>553</v>
      </c>
      <c r="G245" s="458"/>
    </row>
    <row r="246" spans="1:7" ht="40.799999999999997" x14ac:dyDescent="0.7">
      <c r="A246" s="164" t="s">
        <v>595</v>
      </c>
      <c r="B246" s="277">
        <v>1.3607800000000001</v>
      </c>
      <c r="C246" s="459" t="s">
        <v>624</v>
      </c>
      <c r="D246" s="459"/>
      <c r="E246" s="459"/>
      <c r="F246" s="460" t="s">
        <v>554</v>
      </c>
      <c r="G246" s="458"/>
    </row>
    <row r="247" spans="1:7" x14ac:dyDescent="0.7">
      <c r="A247" s="455" t="s">
        <v>312</v>
      </c>
      <c r="B247" s="456"/>
      <c r="C247" s="456"/>
      <c r="D247" s="456"/>
      <c r="E247" s="456"/>
      <c r="F247" s="456"/>
      <c r="G247" s="457"/>
    </row>
    <row r="248" spans="1:7" ht="85.5" customHeight="1" x14ac:dyDescent="0.7">
      <c r="A248" s="164" t="s">
        <v>647</v>
      </c>
      <c r="B248" s="169">
        <v>0.8</v>
      </c>
      <c r="C248" s="535" t="s">
        <v>591</v>
      </c>
      <c r="D248" s="535"/>
      <c r="E248" s="535"/>
      <c r="F248" s="535"/>
      <c r="G248" s="535"/>
    </row>
    <row r="249" spans="1:7" ht="104.25" customHeight="1" x14ac:dyDescent="0.7">
      <c r="A249" s="164" t="s">
        <v>592</v>
      </c>
      <c r="B249" s="276">
        <v>300</v>
      </c>
      <c r="C249" s="458" t="s">
        <v>593</v>
      </c>
      <c r="D249" s="458"/>
      <c r="E249" s="458"/>
      <c r="F249" s="458"/>
      <c r="G249" s="458"/>
    </row>
    <row r="250" spans="1:7" ht="104.25" customHeight="1" x14ac:dyDescent="0.7">
      <c r="A250" s="164" t="s">
        <v>595</v>
      </c>
      <c r="B250" s="276">
        <v>1</v>
      </c>
      <c r="C250" s="458" t="s">
        <v>594</v>
      </c>
      <c r="D250" s="458"/>
      <c r="E250" s="458"/>
      <c r="F250" s="458"/>
      <c r="G250" s="458"/>
    </row>
    <row r="251" spans="1:7" ht="104.25" customHeight="1" x14ac:dyDescent="0.7">
      <c r="A251" s="164" t="s">
        <v>597</v>
      </c>
      <c r="B251" s="172">
        <v>0.05</v>
      </c>
      <c r="C251" s="458" t="s">
        <v>596</v>
      </c>
      <c r="D251" s="458"/>
      <c r="E251" s="458"/>
      <c r="F251" s="458"/>
      <c r="G251" s="458"/>
    </row>
  </sheetData>
  <mergeCells count="141">
    <mergeCell ref="A9:J9"/>
    <mergeCell ref="C242:E243"/>
    <mergeCell ref="C248:G248"/>
    <mergeCell ref="C249:G249"/>
    <mergeCell ref="C250:G250"/>
    <mergeCell ref="C251:G251"/>
    <mergeCell ref="F228:G230"/>
    <mergeCell ref="A231:G231"/>
    <mergeCell ref="A222:G222"/>
    <mergeCell ref="C223:E223"/>
    <mergeCell ref="A224:G224"/>
    <mergeCell ref="A143:AC143"/>
    <mergeCell ref="C239:E239"/>
    <mergeCell ref="F239:G241"/>
    <mergeCell ref="C183:D183"/>
    <mergeCell ref="E177:G178"/>
    <mergeCell ref="C177:D178"/>
    <mergeCell ref="A158:AC158"/>
    <mergeCell ref="A175:G175"/>
    <mergeCell ref="C234:E235"/>
    <mergeCell ref="F234:G235"/>
    <mergeCell ref="A93:AC93"/>
    <mergeCell ref="A98:AC98"/>
    <mergeCell ref="A103:AC103"/>
    <mergeCell ref="A127:AC127"/>
    <mergeCell ref="C232:E232"/>
    <mergeCell ref="F232:G232"/>
    <mergeCell ref="A197:G197"/>
    <mergeCell ref="E193:G193"/>
    <mergeCell ref="C194:D195"/>
    <mergeCell ref="E194:G195"/>
    <mergeCell ref="A133:AC133"/>
    <mergeCell ref="A204:G204"/>
    <mergeCell ref="C205:E205"/>
    <mergeCell ref="F205:G205"/>
    <mergeCell ref="A206:G206"/>
    <mergeCell ref="C207:E208"/>
    <mergeCell ref="F207:G208"/>
    <mergeCell ref="A153:AC153"/>
    <mergeCell ref="A196:G196"/>
    <mergeCell ref="C198:E198"/>
    <mergeCell ref="F198:G198"/>
    <mergeCell ref="C199:E199"/>
    <mergeCell ref="F199:G199"/>
    <mergeCell ref="A192:G192"/>
    <mergeCell ref="C193:D193"/>
    <mergeCell ref="C202:E203"/>
    <mergeCell ref="F202:G203"/>
    <mergeCell ref="C233:E233"/>
    <mergeCell ref="F233:G233"/>
    <mergeCell ref="C227:E227"/>
    <mergeCell ref="F227:G227"/>
    <mergeCell ref="C228:E230"/>
    <mergeCell ref="C209:E209"/>
    <mergeCell ref="F209:G209"/>
    <mergeCell ref="C210:E213"/>
    <mergeCell ref="F210:G213"/>
    <mergeCell ref="C225:E226"/>
    <mergeCell ref="F225:G226"/>
    <mergeCell ref="F223:G223"/>
    <mergeCell ref="C218:E221"/>
    <mergeCell ref="F218:G221"/>
    <mergeCell ref="F215:G215"/>
    <mergeCell ref="F216:G216"/>
    <mergeCell ref="C216:E216"/>
    <mergeCell ref="A214:G214"/>
    <mergeCell ref="C215:E215"/>
    <mergeCell ref="C217:E217"/>
    <mergeCell ref="F217:G217"/>
    <mergeCell ref="C190:D191"/>
    <mergeCell ref="E190:G191"/>
    <mergeCell ref="A181:G181"/>
    <mergeCell ref="A72:AC72"/>
    <mergeCell ref="A82:AC82"/>
    <mergeCell ref="C182:D182"/>
    <mergeCell ref="C176:D176"/>
    <mergeCell ref="E176:G176"/>
    <mergeCell ref="C172:D172"/>
    <mergeCell ref="E172:G172"/>
    <mergeCell ref="A171:G171"/>
    <mergeCell ref="C173:D173"/>
    <mergeCell ref="E188:G189"/>
    <mergeCell ref="C185:D185"/>
    <mergeCell ref="E185:G185"/>
    <mergeCell ref="C184:D184"/>
    <mergeCell ref="A186:G186"/>
    <mergeCell ref="C187:D187"/>
    <mergeCell ref="E187:G187"/>
    <mergeCell ref="E183:G184"/>
    <mergeCell ref="A77:AC77"/>
    <mergeCell ref="A86:AC86"/>
    <mergeCell ref="A88:AC88"/>
    <mergeCell ref="C174:D174"/>
    <mergeCell ref="E179:G180"/>
    <mergeCell ref="A170:G170"/>
    <mergeCell ref="E182:G182"/>
    <mergeCell ref="C188:D189"/>
    <mergeCell ref="A11:AC11"/>
    <mergeCell ref="A12:AC12"/>
    <mergeCell ref="A35:AC35"/>
    <mergeCell ref="A36:AC36"/>
    <mergeCell ref="A24:AC24"/>
    <mergeCell ref="A14:AC14"/>
    <mergeCell ref="A131:AC131"/>
    <mergeCell ref="A43:AC43"/>
    <mergeCell ref="A48:AC48"/>
    <mergeCell ref="A53:AC53"/>
    <mergeCell ref="A58:AC58"/>
    <mergeCell ref="A67:AC67"/>
    <mergeCell ref="A38:AC38"/>
    <mergeCell ref="A62:AC62"/>
    <mergeCell ref="E173:G173"/>
    <mergeCell ref="E174:G174"/>
    <mergeCell ref="A108:AC108"/>
    <mergeCell ref="A112:AC112"/>
    <mergeCell ref="A117:AC117"/>
    <mergeCell ref="A122:AC122"/>
    <mergeCell ref="A2:AC2"/>
    <mergeCell ref="A1:AC1"/>
    <mergeCell ref="A247:G247"/>
    <mergeCell ref="C240:E240"/>
    <mergeCell ref="C241:E241"/>
    <mergeCell ref="C246:E246"/>
    <mergeCell ref="F246:G246"/>
    <mergeCell ref="C244:E244"/>
    <mergeCell ref="F242:G244"/>
    <mergeCell ref="A236:G236"/>
    <mergeCell ref="C237:E237"/>
    <mergeCell ref="F237:G237"/>
    <mergeCell ref="A238:G238"/>
    <mergeCell ref="C245:E245"/>
    <mergeCell ref="F245:G245"/>
    <mergeCell ref="A3:J3"/>
    <mergeCell ref="A4:J4"/>
    <mergeCell ref="A5:J5"/>
    <mergeCell ref="A6:J6"/>
    <mergeCell ref="A7:J7"/>
    <mergeCell ref="A8:J8"/>
    <mergeCell ref="C200:E201"/>
    <mergeCell ref="F200:G201"/>
    <mergeCell ref="C179:D180"/>
  </mergeCells>
  <hyperlinks>
    <hyperlink ref="E177" r:id="rId1" display="https://www.energycodes.gov/sites/default/files/2021-07/2021_IECC_Final_Determination_AnalysisTSD.pdf" xr:uid="{EED9E0CB-098C-49C3-9EFB-8B580E8C2079}"/>
    <hyperlink ref="E194" r:id="rId2" xr:uid="{B7C12A03-857F-4DFB-B59D-E9E87120E0EE}"/>
    <hyperlink ref="E185" r:id="rId3" xr:uid="{BC6780B7-40B5-478C-8B46-F8D1F2EFA675}"/>
    <hyperlink ref="E183" r:id="rId4" xr:uid="{F8280B93-D763-4785-81A0-2E497C6A2CE9}"/>
    <hyperlink ref="F199" r:id="rId5" xr:uid="{7AA05897-B0FE-4187-9126-6F81AF6BDB24}"/>
    <hyperlink ref="F200" r:id="rId6" xr:uid="{564224CD-DB93-4E13-A161-D3FEECC03935}"/>
    <hyperlink ref="F202" r:id="rId7" xr:uid="{5672F8AD-C9E5-4530-8E6C-7C8AED6607D5}"/>
    <hyperlink ref="E174" r:id="rId8" xr:uid="{BECBE528-20A7-4444-ABC4-BC0A780BDC1A}"/>
    <hyperlink ref="E173" r:id="rId9" display="https://www.ubs.com/global/en/sustainability-impact/sustainability-insights/reports/retrofit-revolution/_jcr_content/pagehead.2146460108.file/PS9jb250ZW50L2RhbS9hc3NldHMvY2Mvc3VzdGFpbmFiaWxpdHktYW5kLWltcGFjdC9pbnN0aXR1dGUvZG9jL3JldHJvZml0LXJldm9sdXRpb24tcmVwb3J0LnBkZg==/retrofit-revolution-report.pdf" xr:uid="{72AC1FB2-DB28-4787-99AB-D5C3D326A10D}"/>
    <hyperlink ref="F245" r:id="rId10" location=":~:text=Each%20ton%20of%20AC%20is,cool%20about%20450%20square%20feet." xr:uid="{8A7C92EF-47EA-4E13-9D83-8641FB0B45D3}"/>
    <hyperlink ref="F246" r:id="rId11" xr:uid="{2838358C-26F1-44FC-B20B-3443BE5B8C51}"/>
    <hyperlink ref="F242" r:id="rId12" xr:uid="{4C35D813-FAE3-4083-84E5-F5E7A3AE21F5}"/>
    <hyperlink ref="E179" r:id="rId13" display="https://www.energycodes.gov/sites/default/files/2021-07/EERE-2018-BT-DET-0014-0008.pdf" xr:uid="{690EF258-8EE9-4950-8EC7-0DED12206BD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9E6D-BF8C-48AB-97F6-58F74F17F8B2}">
  <sheetPr codeName="Sheet8">
    <tabColor theme="1"/>
  </sheetPr>
  <dimension ref="A1:CC241"/>
  <sheetViews>
    <sheetView topLeftCell="A80" zoomScale="70" zoomScaleNormal="70" workbookViewId="0">
      <selection activeCell="E98" sqref="E98"/>
    </sheetView>
  </sheetViews>
  <sheetFormatPr defaultColWidth="9.109375" defaultRowHeight="20.399999999999999" x14ac:dyDescent="0.7"/>
  <cols>
    <col min="1" max="1" width="97.109375" style="61" bestFit="1" customWidth="1"/>
    <col min="2" max="2" width="30.5546875" style="61" customWidth="1"/>
    <col min="3" max="3" width="39.109375" style="61" customWidth="1"/>
    <col min="4" max="4" width="17.5546875" style="61" bestFit="1" customWidth="1"/>
    <col min="5" max="7" width="16.5546875" style="61" bestFit="1" customWidth="1"/>
    <col min="8" max="8" width="16.109375" style="61" bestFit="1" customWidth="1"/>
    <col min="9" max="9" width="16.5546875" style="61" bestFit="1" customWidth="1"/>
    <col min="10" max="10" width="15.5546875" style="61" bestFit="1" customWidth="1"/>
    <col min="11" max="13" width="15.44140625" style="61" bestFit="1" customWidth="1"/>
    <col min="14" max="15" width="15.109375" style="61" bestFit="1" customWidth="1"/>
    <col min="16" max="16" width="14.44140625" style="61" bestFit="1" customWidth="1"/>
    <col min="17" max="17" width="14" style="61" bestFit="1" customWidth="1"/>
    <col min="18" max="18" width="15.44140625" style="61" bestFit="1" customWidth="1"/>
    <col min="19" max="19" width="15.88671875" style="61" bestFit="1" customWidth="1"/>
    <col min="20" max="20" width="14.44140625" style="61" bestFit="1" customWidth="1"/>
    <col min="21" max="21" width="15" style="61" bestFit="1" customWidth="1"/>
    <col min="22" max="22" width="15.5546875" style="61" bestFit="1" customWidth="1"/>
    <col min="23" max="23" width="14" style="61" bestFit="1" customWidth="1"/>
    <col min="24" max="24" width="15.109375" style="61" bestFit="1" customWidth="1"/>
    <col min="25" max="25" width="14.5546875" style="61" bestFit="1" customWidth="1"/>
    <col min="26" max="26" width="14.44140625" style="61" bestFit="1" customWidth="1"/>
    <col min="27" max="27" width="15.44140625" style="61" bestFit="1" customWidth="1"/>
    <col min="28" max="28" width="14.44140625" style="61" bestFit="1" customWidth="1"/>
    <col min="29" max="29" width="14.5546875" style="61" bestFit="1" customWidth="1"/>
    <col min="30" max="30" width="13.5546875" style="61" bestFit="1" customWidth="1"/>
    <col min="31" max="33" width="9.5546875" style="61" bestFit="1" customWidth="1"/>
    <col min="34" max="35" width="9.44140625" style="61" bestFit="1" customWidth="1"/>
    <col min="36" max="36" width="9.5546875" style="61" bestFit="1" customWidth="1"/>
    <col min="37" max="37" width="9.44140625" style="61" bestFit="1" customWidth="1"/>
    <col min="38" max="16384" width="9.109375" style="61"/>
  </cols>
  <sheetData>
    <row r="1" spans="1:36" ht="37.799999999999997" x14ac:dyDescent="0.7">
      <c r="A1" s="210" t="s">
        <v>72</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2"/>
    </row>
    <row r="2" spans="1:36" ht="30" customHeight="1" x14ac:dyDescent="0.7">
      <c r="A2" s="286" t="s">
        <v>132</v>
      </c>
      <c r="B2" s="287"/>
      <c r="C2" s="287"/>
      <c r="D2" s="287"/>
      <c r="E2" s="287"/>
      <c r="F2" s="287"/>
      <c r="G2" s="287"/>
      <c r="H2" s="287"/>
      <c r="I2" s="287"/>
      <c r="J2" s="287"/>
      <c r="K2" s="287"/>
      <c r="L2" s="287"/>
      <c r="M2" s="287"/>
      <c r="N2" s="287"/>
      <c r="O2" s="287"/>
      <c r="P2" s="287"/>
      <c r="Q2" s="287"/>
      <c r="R2" s="287"/>
      <c r="S2" s="287"/>
      <c r="T2" s="287"/>
      <c r="U2" s="287"/>
      <c r="V2" s="287"/>
      <c r="W2" s="287"/>
      <c r="X2" s="287"/>
      <c r="Y2" s="287"/>
      <c r="Z2" s="287"/>
      <c r="AA2" s="287"/>
      <c r="AB2" s="287"/>
      <c r="AC2" s="287"/>
      <c r="AD2" s="287"/>
      <c r="AE2" s="287"/>
      <c r="AF2" s="287"/>
      <c r="AG2" s="287"/>
      <c r="AH2" s="287"/>
      <c r="AI2" s="287"/>
      <c r="AJ2" s="288"/>
    </row>
    <row r="3" spans="1:36" ht="26.4" x14ac:dyDescent="0.9">
      <c r="A3" s="77" t="s">
        <v>518</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9"/>
    </row>
    <row r="4" spans="1:36" ht="24" x14ac:dyDescent="0.85">
      <c r="A4" s="201" t="s">
        <v>36</v>
      </c>
      <c r="B4" s="202"/>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3"/>
    </row>
    <row r="5" spans="1:36" s="204" customFormat="1" ht="51.75" customHeight="1" x14ac:dyDescent="0.3">
      <c r="A5" s="541" t="s">
        <v>157</v>
      </c>
      <c r="B5" s="541"/>
      <c r="C5" s="541"/>
      <c r="D5" s="541"/>
      <c r="E5" s="541"/>
      <c r="F5" s="541"/>
      <c r="G5" s="541"/>
      <c r="H5" s="541"/>
      <c r="I5" s="541"/>
      <c r="J5" s="541"/>
      <c r="K5" s="541"/>
      <c r="L5" s="541"/>
    </row>
    <row r="6" spans="1:36" s="204" customFormat="1" ht="65.099999999999994" customHeight="1" x14ac:dyDescent="0.3">
      <c r="A6" s="541" t="s">
        <v>605</v>
      </c>
      <c r="B6" s="541"/>
      <c r="C6" s="541"/>
      <c r="D6" s="541"/>
      <c r="E6" s="541"/>
      <c r="F6" s="541"/>
      <c r="G6" s="541"/>
      <c r="H6" s="541"/>
      <c r="I6" s="541"/>
      <c r="J6" s="541"/>
      <c r="K6" s="541"/>
      <c r="L6" s="541"/>
    </row>
    <row r="7" spans="1:36" ht="24" x14ac:dyDescent="0.85">
      <c r="A7" s="201" t="s">
        <v>167</v>
      </c>
      <c r="B7" s="202"/>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3"/>
    </row>
    <row r="8" spans="1:36" ht="25.35" customHeight="1" x14ac:dyDescent="0.7">
      <c r="A8" s="290"/>
      <c r="B8" s="291">
        <v>2020</v>
      </c>
      <c r="C8" s="291">
        <v>2021</v>
      </c>
      <c r="D8" s="291">
        <v>2022</v>
      </c>
      <c r="E8" s="291">
        <v>2023</v>
      </c>
      <c r="F8" s="291">
        <v>2024</v>
      </c>
      <c r="G8" s="291">
        <v>2025</v>
      </c>
      <c r="H8" s="291">
        <v>2026</v>
      </c>
      <c r="I8" s="291">
        <v>2027</v>
      </c>
      <c r="J8" s="291">
        <v>2028</v>
      </c>
      <c r="K8" s="291">
        <v>2029</v>
      </c>
      <c r="L8" s="291">
        <v>2030</v>
      </c>
      <c r="M8" s="291">
        <v>2031</v>
      </c>
      <c r="N8" s="291">
        <v>2032</v>
      </c>
      <c r="O8" s="291">
        <v>2033</v>
      </c>
      <c r="P8" s="291">
        <v>2034</v>
      </c>
      <c r="Q8" s="291">
        <v>2035</v>
      </c>
      <c r="R8" s="291">
        <v>2036</v>
      </c>
      <c r="S8" s="291">
        <v>2037</v>
      </c>
      <c r="T8" s="291">
        <v>2038</v>
      </c>
      <c r="U8" s="291">
        <v>2039</v>
      </c>
      <c r="V8" s="24">
        <v>2040</v>
      </c>
      <c r="W8" s="24">
        <v>2041</v>
      </c>
      <c r="X8" s="24">
        <v>2042</v>
      </c>
      <c r="Y8" s="24">
        <v>2043</v>
      </c>
      <c r="Z8" s="24">
        <v>2044</v>
      </c>
      <c r="AA8" s="24">
        <v>2045</v>
      </c>
      <c r="AB8" s="24">
        <v>2046</v>
      </c>
      <c r="AC8" s="24">
        <v>2047</v>
      </c>
      <c r="AD8" s="24">
        <v>2048</v>
      </c>
      <c r="AE8" s="24">
        <v>2049</v>
      </c>
      <c r="AF8" s="24">
        <v>2050</v>
      </c>
    </row>
    <row r="9" spans="1:36" ht="25.35" customHeight="1" x14ac:dyDescent="0.7">
      <c r="A9" s="80" t="s">
        <v>169</v>
      </c>
      <c r="B9" s="73">
        <v>676438</v>
      </c>
      <c r="C9" s="72">
        <f>$G$9-(($G$9-$B$9)/($G$8-$B$8))*($G$8-C8)</f>
        <v>677267.2</v>
      </c>
      <c r="D9" s="72">
        <f>$G$9-(($G$9-$B$9)/($G$8-$B$8))*($G$8-D8)</f>
        <v>678096.4</v>
      </c>
      <c r="E9" s="72">
        <f>$G$9-(($G$9-$B$9)/($G$8-$B$8))*($G$8-E8)</f>
        <v>678925.6</v>
      </c>
      <c r="F9" s="72">
        <f>$G$9-(($G$9-$B$9)/($G$8-$B$8))*($G$8-F8)</f>
        <v>679754.8</v>
      </c>
      <c r="G9" s="73">
        <v>680584</v>
      </c>
      <c r="H9" s="72">
        <f>$L$9-(($L$9-$G$9)/($L$8-$G$8))*($L$8-H8)</f>
        <v>681141.6</v>
      </c>
      <c r="I9" s="72">
        <f>$L$9-(($L$9-$G$9)/($L$8-$G$8))*($L$8-I8)</f>
        <v>681699.2</v>
      </c>
      <c r="J9" s="72">
        <f>$L$9-(($L$9-$G$9)/($L$8-$G$8))*($L$8-J8)</f>
        <v>682256.8</v>
      </c>
      <c r="K9" s="72">
        <f>$L$9-(($L$9-$G$9)/($L$8-$G$8))*($L$8-K8)</f>
        <v>682814.4</v>
      </c>
      <c r="L9" s="73">
        <v>683372</v>
      </c>
      <c r="M9" s="72">
        <f>$Q$9-(($Q$9-$L$9)/($Q$8-$L$8))*($Q$8-M8)</f>
        <v>683632.2</v>
      </c>
      <c r="N9" s="72">
        <f>$Q$9-(($Q$9-$L$9)/($Q$8-$L$8))*($Q$8-N8)</f>
        <v>683892.4</v>
      </c>
      <c r="O9" s="72">
        <f>$Q$9-(($Q$9-$L$9)/($Q$8-$L$8))*($Q$8-O8)</f>
        <v>684152.6</v>
      </c>
      <c r="P9" s="72">
        <f>$Q$9-(($Q$9-$L$9)/($Q$8-$L$8))*($Q$8-P8)</f>
        <v>684412.8</v>
      </c>
      <c r="Q9" s="73">
        <v>684673</v>
      </c>
      <c r="R9" s="72">
        <f>$V$9-(($V$9-$Q$9)/($V$8-$Q$8))*($V$8-R8)</f>
        <v>684630.6</v>
      </c>
      <c r="S9" s="72">
        <f>$V$9-(($V$9-$Q$9)/($V$8-$Q$8))*($V$8-S8)</f>
        <v>684588.2</v>
      </c>
      <c r="T9" s="72">
        <f>$V$9-(($V$9-$Q$9)/($V$8-$Q$8))*($V$8-T8)</f>
        <v>684545.8</v>
      </c>
      <c r="U9" s="72">
        <f>$V$9-(($V$9-$Q$9)/($V$8-$Q$8))*($V$8-U8)</f>
        <v>684503.4</v>
      </c>
      <c r="V9" s="73">
        <v>684461</v>
      </c>
      <c r="W9" s="72">
        <f>$AA$9-(($AA$9-$V$9)/($AA$8-$V$8))*($AA$8-W8)</f>
        <v>684234.2</v>
      </c>
      <c r="X9" s="72">
        <f>$AA$9-(($AA$9-$V$9)/($AA$8-$V$8))*($AA$8-X8)</f>
        <v>684007.4</v>
      </c>
      <c r="Y9" s="72">
        <f>$AA$9-(($AA$9-$V$9)/($AA$8-$V$8))*($AA$8-Y8)</f>
        <v>683780.6</v>
      </c>
      <c r="Z9" s="72">
        <f>$AA$9-(($AA$9-$V$9)/($AA$8-$V$8))*($AA$8-Z8)</f>
        <v>683553.8</v>
      </c>
      <c r="AA9" s="73">
        <v>683327</v>
      </c>
      <c r="AB9" s="72">
        <f>$AF$9-(($AF$9-$AA$9)/($AF$8-$AA$8))*($AF$8-AB8)</f>
        <v>682938.8</v>
      </c>
      <c r="AC9" s="72">
        <f>$AF$9-(($AF$9-$AA$9)/($AF$8-$AA$8))*($AF$8-AC8)</f>
        <v>682550.6</v>
      </c>
      <c r="AD9" s="72">
        <f>$AF$9-(($AF$9-$AA$9)/($AF$8-$AA$8))*($AF$8-AD8)</f>
        <v>682162.4</v>
      </c>
      <c r="AE9" s="72">
        <f>$AF$9-(($AF$9-$AA$9)/($AF$8-$AA$8))*($AF$8-AE8)</f>
        <v>681774.2</v>
      </c>
      <c r="AF9" s="73">
        <v>681386</v>
      </c>
    </row>
    <row r="10" spans="1:36" ht="25.35" customHeight="1" x14ac:dyDescent="0.7">
      <c r="A10" s="80" t="s">
        <v>702</v>
      </c>
      <c r="B10" s="73">
        <v>560447</v>
      </c>
      <c r="C10" s="72"/>
      <c r="D10" s="72"/>
      <c r="E10" s="72"/>
      <c r="F10" s="72"/>
      <c r="G10" s="73"/>
      <c r="H10" s="72"/>
      <c r="I10" s="72"/>
      <c r="J10" s="72"/>
      <c r="K10" s="72"/>
      <c r="L10" s="73"/>
      <c r="M10" s="72"/>
      <c r="N10" s="72"/>
      <c r="O10" s="72"/>
      <c r="P10" s="72"/>
      <c r="Q10" s="73"/>
      <c r="R10" s="72"/>
      <c r="S10" s="72"/>
      <c r="T10" s="72"/>
      <c r="U10" s="72"/>
      <c r="V10" s="73"/>
      <c r="W10" s="72"/>
      <c r="X10" s="72"/>
      <c r="Y10" s="72"/>
      <c r="Z10" s="72"/>
      <c r="AA10" s="73"/>
      <c r="AB10" s="72"/>
      <c r="AC10" s="72"/>
      <c r="AD10" s="72"/>
      <c r="AE10" s="72"/>
      <c r="AF10" s="73"/>
    </row>
    <row r="11" spans="1:36" ht="25.35" customHeight="1" x14ac:dyDescent="0.7">
      <c r="A11" s="80" t="s">
        <v>170</v>
      </c>
      <c r="B11" s="73">
        <v>148829</v>
      </c>
      <c r="C11" s="72">
        <f>$G$11-(($G$11-$B$11)/($G$8-$B$8))*($G$8-C8)</f>
        <v>150556.79999999999</v>
      </c>
      <c r="D11" s="72">
        <f>$G$11-(($G$11-$B$11)/($G$8-$B$8))*($G$8-D8)</f>
        <v>152284.6</v>
      </c>
      <c r="E11" s="72">
        <f>$G$11-(($G$11-$B$11)/($G$8-$B$8))*($G$8-E8)</f>
        <v>154012.4</v>
      </c>
      <c r="F11" s="72">
        <f>$G$11-(($G$11-$B$11)/($G$8-$B$8))*($G$8-F8)</f>
        <v>155740.20000000001</v>
      </c>
      <c r="G11" s="73">
        <v>157468</v>
      </c>
      <c r="H11" s="72">
        <f>$L$11-(($L$11-$G$11)/($L$8-$G$8))*($L$8-H8)</f>
        <v>158904</v>
      </c>
      <c r="I11" s="72">
        <f>$L$11-(($L$11-$G$11)/($L$8-$G$8))*($L$8-I8)</f>
        <v>160340</v>
      </c>
      <c r="J11" s="72">
        <f>$L$11-(($L$11-$G$11)/($L$8-$G$8))*($L$8-J8)</f>
        <v>161776</v>
      </c>
      <c r="K11" s="72">
        <f>$L$11-(($L$11-$G$11)/($L$8-$G$8))*($L$8-K8)</f>
        <v>163212</v>
      </c>
      <c r="L11" s="73">
        <v>164648</v>
      </c>
      <c r="M11" s="72">
        <f>$Q$11-(($Q$11-$L$11)/($Q$8-$L$8))*($Q$8-M8)</f>
        <v>165541.79999999999</v>
      </c>
      <c r="N11" s="72">
        <f>$Q$11-(($Q$11-$L$11)/($Q$8-$L$8))*($Q$8-N8)</f>
        <v>166435.6</v>
      </c>
      <c r="O11" s="72">
        <f>$Q$11-(($Q$11-$L$11)/($Q$8-$L$8))*($Q$8-O8)</f>
        <v>167329.4</v>
      </c>
      <c r="P11" s="72">
        <f>$Q$11-(($Q$11-$L$11)/($Q$8-$L$8))*($Q$8-P8)</f>
        <v>168223.2</v>
      </c>
      <c r="Q11" s="73">
        <v>169117</v>
      </c>
      <c r="R11" s="72">
        <f>$V$11-(($V$11-$Q$11)/($V$8-$Q$8))*($V$8-R8)</f>
        <v>169385.60000000001</v>
      </c>
      <c r="S11" s="72">
        <f>$V$11-(($V$11-$Q$11)/($V$8-$Q$8))*($V$8-S8)</f>
        <v>169654.2</v>
      </c>
      <c r="T11" s="72">
        <f>$V$11-(($V$11-$Q$11)/($V$8-$Q$8))*($V$8-T8)</f>
        <v>169922.8</v>
      </c>
      <c r="U11" s="72">
        <f>$V$11-(($V$11-$Q$11)/($V$8-$Q$8))*($V$8-U8)</f>
        <v>170191.4</v>
      </c>
      <c r="V11" s="73">
        <v>170460</v>
      </c>
      <c r="W11" s="72">
        <f>$AA$11-(($AA$11-$V$11)/($AA$8-$V$8))*($AA$8-W8)</f>
        <v>170283</v>
      </c>
      <c r="X11" s="72">
        <f>$AA$11-(($AA$11-$V$11)/($AA$8-$V$8))*($AA$8-X8)</f>
        <v>170106</v>
      </c>
      <c r="Y11" s="72">
        <f>$AA$11-(($AA$11-$V$11)/($AA$8-$V$8))*($AA$8-Y8)</f>
        <v>169929</v>
      </c>
      <c r="Z11" s="72">
        <f>$AA$11-(($AA$11-$V$11)/($AA$8-$V$8))*($AA$8-Z8)</f>
        <v>169752</v>
      </c>
      <c r="AA11" s="73">
        <v>169575</v>
      </c>
      <c r="AB11" s="72">
        <f>$AF$11-(($AF$11-$AA$11)/($AF$8-$AA$8))*($AF$8-AB8)</f>
        <v>169010.6</v>
      </c>
      <c r="AC11" s="72">
        <f>$AF$11-(($AF$11-$AA$11)/($AF$8-$AA$8))*($AF$8-AC8)</f>
        <v>168446.2</v>
      </c>
      <c r="AD11" s="72">
        <f>$AF$11-(($AF$11-$AA$11)/($AF$8-$AA$8))*($AF$8-AD8)</f>
        <v>167881.8</v>
      </c>
      <c r="AE11" s="72">
        <f>$AF$11-(($AF$11-$AA$11)/($AF$8-$AA$8))*($AF$8-AE8)</f>
        <v>167317.4</v>
      </c>
      <c r="AF11" s="73">
        <v>166753</v>
      </c>
    </row>
    <row r="12" spans="1:36" ht="25.35" customHeight="1" x14ac:dyDescent="0.7">
      <c r="A12" s="80" t="s">
        <v>171</v>
      </c>
      <c r="B12" s="73">
        <v>15045</v>
      </c>
      <c r="C12" s="72">
        <f>$G$12-(($G$12-$B$12)/($G$8-$B$8))*($G$8-C8)</f>
        <v>14951</v>
      </c>
      <c r="D12" s="72">
        <f>$G$12-(($G$12-$B$12)/($G$8-$B$8))*($G$8-D8)</f>
        <v>14857</v>
      </c>
      <c r="E12" s="72">
        <f>$G$12-(($G$12-$B$12)/($G$8-$B$8))*($G$8-E8)</f>
        <v>14763</v>
      </c>
      <c r="F12" s="72">
        <f>$G$12-(($G$12-$B$12)/($G$8-$B$8))*($G$8-F8)</f>
        <v>14669</v>
      </c>
      <c r="G12" s="73">
        <v>14575</v>
      </c>
      <c r="H12" s="72">
        <f>$L$12-(($L$12-$G$12)/($L$8-$G$8))*($L$8-H8)</f>
        <v>14449.4</v>
      </c>
      <c r="I12" s="72">
        <f>$L$12-(($L$12-$G$12)/($L$8-$G$8))*($L$8-I8)</f>
        <v>14323.8</v>
      </c>
      <c r="J12" s="72">
        <f>$L$12-(($L$12-$G$12)/($L$8-$G$8))*($L$8-J8)</f>
        <v>14198.2</v>
      </c>
      <c r="K12" s="72">
        <f>$L$12-(($L$12-$G$12)/($L$8-$G$8))*($L$8-K8)</f>
        <v>14072.6</v>
      </c>
      <c r="L12" s="73">
        <v>13947</v>
      </c>
      <c r="M12" s="72">
        <f>$Q$12-(($Q$12-$L$12)/($Q$8-$L$8))*($Q$8-M8)</f>
        <v>13786.6</v>
      </c>
      <c r="N12" s="72">
        <f>$Q$12-(($Q$12-$L$12)/($Q$8-$L$8))*($Q$8-N8)</f>
        <v>13626.2</v>
      </c>
      <c r="O12" s="72">
        <f>$Q$12-(($Q$12-$L$12)/($Q$8-$L$8))*($Q$8-O8)</f>
        <v>13465.8</v>
      </c>
      <c r="P12" s="72">
        <f>$Q$12-(($Q$12-$L$12)/($Q$8-$L$8))*($Q$8-P8)</f>
        <v>13305.4</v>
      </c>
      <c r="Q12" s="73">
        <v>13145</v>
      </c>
      <c r="R12" s="72">
        <f>$V$12-(($V$12-$Q$12)/($V$8-$Q$8))*($V$8-R8)</f>
        <v>12941.2</v>
      </c>
      <c r="S12" s="72">
        <f>$V$12-(($V$12-$Q$12)/($V$8-$Q$8))*($V$8-S8)</f>
        <v>12737.4</v>
      </c>
      <c r="T12" s="72">
        <f>$V$12-(($V$12-$Q$12)/($V$8-$Q$8))*($V$8-T8)</f>
        <v>12533.6</v>
      </c>
      <c r="U12" s="72">
        <f>$V$12-(($V$12-$Q$12)/($V$8-$Q$8))*($V$8-U8)</f>
        <v>12329.8</v>
      </c>
      <c r="V12" s="73">
        <v>12126</v>
      </c>
      <c r="W12" s="72">
        <f>$AA$12-(($AA$12-$V$12)/($AA$8-$V$8))*($AA$8-W8)</f>
        <v>11896.4</v>
      </c>
      <c r="X12" s="72">
        <f>$AA$12-(($AA$12-$V$12)/($AA$8-$V$8))*($AA$8-X8)</f>
        <v>11666.8</v>
      </c>
      <c r="Y12" s="72">
        <f>$AA$12-(($AA$12-$V$12)/($AA$8-$V$8))*($AA$8-Y8)</f>
        <v>11437.2</v>
      </c>
      <c r="Z12" s="72">
        <f>$AA$12-(($AA$12-$V$12)/($AA$8-$V$8))*($AA$8-Z8)</f>
        <v>11207.6</v>
      </c>
      <c r="AA12" s="73">
        <v>10978</v>
      </c>
      <c r="AB12" s="72">
        <f>$AF$12-(($AF$12-$AA$12)/($AF$8-$AA$8))*($AF$8-AB8)</f>
        <v>10713.2</v>
      </c>
      <c r="AC12" s="72">
        <f>$AF$12-(($AF$12-$AA$12)/($AF$8-$AA$8))*($AF$8-AC8)</f>
        <v>10448.4</v>
      </c>
      <c r="AD12" s="72">
        <f>$AF$12-(($AF$12-$AA$12)/($AF$8-$AA$8))*($AF$8-AD8)</f>
        <v>10183.6</v>
      </c>
      <c r="AE12" s="72">
        <f>$AF$12-(($AF$12-$AA$12)/($AF$8-$AA$8))*($AF$8-AE8)</f>
        <v>9918.7999999999993</v>
      </c>
      <c r="AF12" s="73">
        <v>9654</v>
      </c>
    </row>
    <row r="13" spans="1:36" ht="25.35" customHeight="1" x14ac:dyDescent="0.7">
      <c r="A13" s="80" t="s">
        <v>172</v>
      </c>
      <c r="B13" s="73">
        <v>76205</v>
      </c>
      <c r="C13" s="72">
        <f>$G$13-(($G$13-$B$13)/($G$8-$B$8))*($G$8-C8)</f>
        <v>76387.600000000006</v>
      </c>
      <c r="D13" s="72">
        <f>$G$13-(($G$13-$B$13)/($G$8-$B$8))*($G$8-D8)</f>
        <v>76570.2</v>
      </c>
      <c r="E13" s="72">
        <f>$G$13-(($G$13-$B$13)/($G$8-$B$8))*($G$8-E8)</f>
        <v>76752.800000000003</v>
      </c>
      <c r="F13" s="72">
        <f>$G$13-(($G$13-$B$13)/($G$8-$B$8))*($G$8-F8)</f>
        <v>76935.399999999994</v>
      </c>
      <c r="G13" s="73">
        <v>77118</v>
      </c>
      <c r="H13" s="72">
        <f>$L$13-(($L$13-$G$13)/($L$8-$G$8))*($L$8-H8)</f>
        <v>77158.399999999994</v>
      </c>
      <c r="I13" s="72">
        <f>$L$13-(($L$13-$G$13)/($L$8-$G$8))*($L$8-I8)</f>
        <v>77198.8</v>
      </c>
      <c r="J13" s="72">
        <f>$L$13-(($L$13-$G$13)/($L$8-$G$8))*($L$8-J8)</f>
        <v>77239.199999999997</v>
      </c>
      <c r="K13" s="72">
        <f>$L$13-(($L$13-$G$13)/($L$8-$G$8))*($L$8-K8)</f>
        <v>77279.600000000006</v>
      </c>
      <c r="L13" s="73">
        <v>77320</v>
      </c>
      <c r="M13" s="72">
        <f>$Q$13-(($Q$13-$L$13)/($Q$8-$L$8))*($Q$8-M8)</f>
        <v>77363.199999999997</v>
      </c>
      <c r="N13" s="72">
        <f>$Q$13-(($Q$13-$L$13)/($Q$8-$L$8))*($Q$8-N8)</f>
        <v>77406.399999999994</v>
      </c>
      <c r="O13" s="72">
        <f>$Q$13-(($Q$13-$L$13)/($Q$8-$L$8))*($Q$8-O8)</f>
        <v>77449.600000000006</v>
      </c>
      <c r="P13" s="72">
        <f>$Q$13-(($Q$13-$L$13)/($Q$8-$L$8))*($Q$8-P8)</f>
        <v>77492.800000000003</v>
      </c>
      <c r="Q13" s="73">
        <v>77536</v>
      </c>
      <c r="R13" s="72">
        <f>$V$13-(($V$13-$Q$13)/($V$8-$Q$8))*($V$8-R8)</f>
        <v>77593.8</v>
      </c>
      <c r="S13" s="72">
        <f>$V$13-(($V$13-$Q$13)/($V$8-$Q$8))*($V$8-S8)</f>
        <v>77651.600000000006</v>
      </c>
      <c r="T13" s="72">
        <f>$V$13-(($V$13-$Q$13)/($V$8-$Q$8))*($V$8-T8)</f>
        <v>77709.399999999994</v>
      </c>
      <c r="U13" s="72">
        <f>$V$13-(($V$13-$Q$13)/($V$8-$Q$8))*($V$8-U8)</f>
        <v>77767.199999999997</v>
      </c>
      <c r="V13" s="73">
        <v>77825</v>
      </c>
      <c r="W13" s="72">
        <f>$AA$13-(($AA$13-$V$13)/($AA$8-$V$8))*($AA$8-W8)</f>
        <v>77906.600000000006</v>
      </c>
      <c r="X13" s="72">
        <f>$AA$13-(($AA$13-$V$13)/($AA$8-$V$8))*($AA$8-X8)</f>
        <v>77988.2</v>
      </c>
      <c r="Y13" s="72">
        <f>$AA$13-(($AA$13-$V$13)/($AA$8-$V$8))*($AA$8-Y8)</f>
        <v>78069.8</v>
      </c>
      <c r="Z13" s="72">
        <f>$AA$13-(($AA$13-$V$13)/($AA$8-$V$8))*($AA$8-Z8)</f>
        <v>78151.399999999994</v>
      </c>
      <c r="AA13" s="73">
        <v>78233</v>
      </c>
      <c r="AB13" s="72">
        <f>$AF$13-(($AF$13-$AA$13)/($AF$8-$AA$8))*($AF$8-AB8)</f>
        <v>78284.600000000006</v>
      </c>
      <c r="AC13" s="72">
        <f>$AF$13-(($AF$13-$AA$13)/($AF$8-$AA$8))*($AF$8-AC8)</f>
        <v>78336.2</v>
      </c>
      <c r="AD13" s="72">
        <f>$AF$13-(($AF$13-$AA$13)/($AF$8-$AA$8))*($AF$8-AD8)</f>
        <v>78387.8</v>
      </c>
      <c r="AE13" s="72">
        <f>$AF$13-(($AF$13-$AA$13)/($AF$8-$AA$8))*($AF$8-AE8)</f>
        <v>78439.399999999994</v>
      </c>
      <c r="AF13" s="73">
        <v>78491</v>
      </c>
    </row>
    <row r="14" spans="1:36" ht="25.35" customHeight="1" x14ac:dyDescent="0.7">
      <c r="A14" s="80" t="s">
        <v>173</v>
      </c>
      <c r="B14" s="72">
        <f t="shared" ref="B14:AF14" si="0">SUM(B9:B13)</f>
        <v>1476964</v>
      </c>
      <c r="C14" s="72">
        <f t="shared" si="0"/>
        <v>919162.6</v>
      </c>
      <c r="D14" s="72">
        <f t="shared" si="0"/>
        <v>921808.2</v>
      </c>
      <c r="E14" s="72">
        <f t="shared" si="0"/>
        <v>924453.8</v>
      </c>
      <c r="F14" s="72">
        <f t="shared" si="0"/>
        <v>927099.4</v>
      </c>
      <c r="G14" s="72">
        <f t="shared" si="0"/>
        <v>929745</v>
      </c>
      <c r="H14" s="72">
        <f t="shared" si="0"/>
        <v>931653.4</v>
      </c>
      <c r="I14" s="72">
        <f t="shared" si="0"/>
        <v>933561.8</v>
      </c>
      <c r="J14" s="72">
        <f t="shared" si="0"/>
        <v>935470.2</v>
      </c>
      <c r="K14" s="72">
        <f t="shared" si="0"/>
        <v>937378.6</v>
      </c>
      <c r="L14" s="72">
        <f t="shared" si="0"/>
        <v>939287</v>
      </c>
      <c r="M14" s="72">
        <f t="shared" si="0"/>
        <v>940323.79999999993</v>
      </c>
      <c r="N14" s="72">
        <f t="shared" si="0"/>
        <v>941360.6</v>
      </c>
      <c r="O14" s="72">
        <f t="shared" si="0"/>
        <v>942397.4</v>
      </c>
      <c r="P14" s="72">
        <f t="shared" si="0"/>
        <v>943434.20000000007</v>
      </c>
      <c r="Q14" s="72">
        <f t="shared" si="0"/>
        <v>944471</v>
      </c>
      <c r="R14" s="72">
        <f t="shared" si="0"/>
        <v>944551.2</v>
      </c>
      <c r="S14" s="72">
        <f t="shared" si="0"/>
        <v>944631.39999999991</v>
      </c>
      <c r="T14" s="72">
        <f t="shared" si="0"/>
        <v>944711.60000000009</v>
      </c>
      <c r="U14" s="72">
        <f t="shared" si="0"/>
        <v>944791.8</v>
      </c>
      <c r="V14" s="72">
        <f t="shared" si="0"/>
        <v>944872</v>
      </c>
      <c r="W14" s="72">
        <f t="shared" si="0"/>
        <v>944320.2</v>
      </c>
      <c r="X14" s="72">
        <f t="shared" si="0"/>
        <v>943768.4</v>
      </c>
      <c r="Y14" s="72">
        <f t="shared" si="0"/>
        <v>943216.6</v>
      </c>
      <c r="Z14" s="72">
        <f t="shared" si="0"/>
        <v>942664.8</v>
      </c>
      <c r="AA14" s="72">
        <f t="shared" si="0"/>
        <v>942113</v>
      </c>
      <c r="AB14" s="72">
        <f t="shared" si="0"/>
        <v>940947.2</v>
      </c>
      <c r="AC14" s="72">
        <f t="shared" si="0"/>
        <v>939781.4</v>
      </c>
      <c r="AD14" s="72">
        <f t="shared" si="0"/>
        <v>938615.6</v>
      </c>
      <c r="AE14" s="72">
        <f t="shared" si="0"/>
        <v>937449.8</v>
      </c>
      <c r="AF14" s="72">
        <f t="shared" si="0"/>
        <v>936284</v>
      </c>
      <c r="AG14" s="344"/>
    </row>
    <row r="15" spans="1:36" ht="25.35" customHeight="1" x14ac:dyDescent="0.7">
      <c r="A15" s="80" t="s">
        <v>174</v>
      </c>
      <c r="B15" s="27"/>
      <c r="C15" s="27">
        <f>(C14-B14)/B14</f>
        <v>-0.37766756671117241</v>
      </c>
      <c r="D15" s="27">
        <f t="shared" ref="D15" si="1">(D14-C14)/C14</f>
        <v>2.8782720271690525E-3</v>
      </c>
      <c r="E15" s="27">
        <f>(E14-D14)/D14</f>
        <v>2.8700113537719596E-3</v>
      </c>
      <c r="F15" s="27">
        <f t="shared" ref="F15:AF15" si="2">(F14-E14)/E14</f>
        <v>2.8617979611311852E-3</v>
      </c>
      <c r="G15" s="27">
        <f t="shared" si="2"/>
        <v>2.8536314444815481E-3</v>
      </c>
      <c r="H15" s="27">
        <f t="shared" si="2"/>
        <v>2.0526058220264945E-3</v>
      </c>
      <c r="I15" s="27">
        <f t="shared" si="2"/>
        <v>2.0484012616709423E-3</v>
      </c>
      <c r="J15" s="27">
        <f t="shared" si="2"/>
        <v>2.0442138913566374E-3</v>
      </c>
      <c r="K15" s="27">
        <f t="shared" si="2"/>
        <v>2.0400436058786516E-3</v>
      </c>
      <c r="L15" s="27">
        <f t="shared" si="2"/>
        <v>2.0358903008880548E-3</v>
      </c>
      <c r="M15" s="27">
        <f t="shared" si="2"/>
        <v>1.1038159795674061E-3</v>
      </c>
      <c r="N15" s="27">
        <f t="shared" si="2"/>
        <v>1.1025989132680111E-3</v>
      </c>
      <c r="O15" s="27">
        <f t="shared" si="2"/>
        <v>1.1013845278844755E-3</v>
      </c>
      <c r="P15" s="27">
        <f t="shared" si="2"/>
        <v>1.1001728145685107E-3</v>
      </c>
      <c r="Q15" s="27">
        <f t="shared" si="2"/>
        <v>1.0989637645104767E-3</v>
      </c>
      <c r="R15" s="27">
        <f t="shared" si="2"/>
        <v>8.4915259441479336E-5</v>
      </c>
      <c r="S15" s="27">
        <f t="shared" si="2"/>
        <v>8.4908049452431415E-5</v>
      </c>
      <c r="T15" s="27">
        <f t="shared" si="2"/>
        <v>8.4900840687898233E-5</v>
      </c>
      <c r="U15" s="27">
        <f t="shared" si="2"/>
        <v>8.4893633146828547E-5</v>
      </c>
      <c r="V15" s="27">
        <f t="shared" si="2"/>
        <v>8.4886426829650115E-5</v>
      </c>
      <c r="W15" s="27">
        <f t="shared" si="2"/>
        <v>-5.8399444580858211E-4</v>
      </c>
      <c r="X15" s="27">
        <f t="shared" si="2"/>
        <v>-5.8433569460859802E-4</v>
      </c>
      <c r="Y15" s="27">
        <f t="shared" si="2"/>
        <v>-5.846773424497435E-4</v>
      </c>
      <c r="Z15" s="27">
        <f>(Z14-Y14)/Y14</f>
        <v>-5.8501939003186563E-4</v>
      </c>
      <c r="AA15" s="27">
        <f t="shared" si="2"/>
        <v>-5.8536183805743731E-4</v>
      </c>
      <c r="AB15" s="27">
        <f t="shared" si="2"/>
        <v>-1.2374311786378562E-3</v>
      </c>
      <c r="AC15" s="27">
        <f t="shared" si="2"/>
        <v>-1.2389643117062575E-3</v>
      </c>
      <c r="AD15" s="27">
        <f t="shared" si="2"/>
        <v>-1.2405012484818774E-3</v>
      </c>
      <c r="AE15" s="27">
        <f t="shared" si="2"/>
        <v>-1.2420420031373123E-3</v>
      </c>
      <c r="AF15" s="27">
        <f t="shared" si="2"/>
        <v>-1.243586589916651E-3</v>
      </c>
      <c r="AG15" s="209"/>
    </row>
    <row r="16" spans="1:36" ht="24" x14ac:dyDescent="0.85">
      <c r="A16" s="201" t="s">
        <v>168</v>
      </c>
      <c r="B16" s="202"/>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3"/>
    </row>
    <row r="17" spans="1:36" ht="25.35" customHeight="1" x14ac:dyDescent="0.7">
      <c r="A17" s="290"/>
      <c r="B17" s="291">
        <v>2016</v>
      </c>
      <c r="C17" s="291">
        <v>2017</v>
      </c>
      <c r="D17" s="291">
        <v>2018</v>
      </c>
      <c r="E17" s="291">
        <v>2019</v>
      </c>
      <c r="F17" s="291">
        <v>2020</v>
      </c>
      <c r="G17" s="291">
        <v>2021</v>
      </c>
      <c r="H17" s="291">
        <v>2022</v>
      </c>
      <c r="I17" s="291">
        <v>2023</v>
      </c>
      <c r="J17" s="291">
        <v>2024</v>
      </c>
      <c r="K17" s="291">
        <v>2025</v>
      </c>
      <c r="L17" s="291">
        <v>2026</v>
      </c>
      <c r="M17" s="291">
        <v>2027</v>
      </c>
      <c r="N17" s="291">
        <v>2028</v>
      </c>
      <c r="O17" s="291">
        <v>2029</v>
      </c>
      <c r="P17" s="291">
        <v>2030</v>
      </c>
      <c r="Q17" s="291">
        <v>2031</v>
      </c>
      <c r="R17" s="291">
        <v>2032</v>
      </c>
      <c r="S17" s="291">
        <v>2033</v>
      </c>
      <c r="T17" s="291">
        <v>2034</v>
      </c>
      <c r="U17" s="291">
        <v>2035</v>
      </c>
      <c r="V17" s="291">
        <v>2036</v>
      </c>
      <c r="W17" s="291">
        <v>2037</v>
      </c>
      <c r="X17" s="291">
        <v>2038</v>
      </c>
      <c r="Y17" s="291">
        <v>2039</v>
      </c>
      <c r="Z17" s="291">
        <v>2040</v>
      </c>
      <c r="AA17" s="291">
        <v>2041</v>
      </c>
      <c r="AB17" s="291">
        <v>2042</v>
      </c>
      <c r="AC17" s="291">
        <v>2043</v>
      </c>
      <c r="AD17" s="291">
        <v>2044</v>
      </c>
      <c r="AE17" s="291">
        <v>2045</v>
      </c>
      <c r="AF17" s="291">
        <v>2046</v>
      </c>
      <c r="AG17" s="291">
        <v>2047</v>
      </c>
      <c r="AH17" s="291">
        <v>2048</v>
      </c>
      <c r="AI17" s="291">
        <v>2049</v>
      </c>
      <c r="AJ17" s="2">
        <v>2050</v>
      </c>
    </row>
    <row r="18" spans="1:36" x14ac:dyDescent="0.7">
      <c r="A18" s="80" t="s">
        <v>169</v>
      </c>
      <c r="B18" s="73">
        <v>352002</v>
      </c>
      <c r="C18" s="72">
        <f>(($B$18-$Z$18)/($B$17-$Z$17))*(C17-$Z$17)+$Z$18</f>
        <v>354557.66666666669</v>
      </c>
      <c r="D18" s="72">
        <f t="shared" ref="D18:Y18" si="3">(($B$18-$Z$18)/($B$17-$Z$17))*(D17-$Z$17)+$Z$18</f>
        <v>357113.33333333331</v>
      </c>
      <c r="E18" s="72">
        <f t="shared" si="3"/>
        <v>359669</v>
      </c>
      <c r="F18" s="72">
        <f t="shared" si="3"/>
        <v>362224.66666666669</v>
      </c>
      <c r="G18" s="72">
        <f t="shared" si="3"/>
        <v>364780.33333333331</v>
      </c>
      <c r="H18" s="72">
        <f t="shared" si="3"/>
        <v>367336</v>
      </c>
      <c r="I18" s="72">
        <f t="shared" si="3"/>
        <v>369891.66666666669</v>
      </c>
      <c r="J18" s="72">
        <f t="shared" si="3"/>
        <v>372447.33333333331</v>
      </c>
      <c r="K18" s="72">
        <f t="shared" si="3"/>
        <v>375003</v>
      </c>
      <c r="L18" s="72">
        <f t="shared" si="3"/>
        <v>377558.66666666669</v>
      </c>
      <c r="M18" s="72">
        <f t="shared" si="3"/>
        <v>380114.33333333331</v>
      </c>
      <c r="N18" s="72">
        <f t="shared" si="3"/>
        <v>382670</v>
      </c>
      <c r="O18" s="72">
        <f t="shared" si="3"/>
        <v>385225.66666666669</v>
      </c>
      <c r="P18" s="72">
        <f t="shared" si="3"/>
        <v>387781.33333333331</v>
      </c>
      <c r="Q18" s="72">
        <f t="shared" si="3"/>
        <v>390337</v>
      </c>
      <c r="R18" s="72">
        <f t="shared" si="3"/>
        <v>392892.66666666669</v>
      </c>
      <c r="S18" s="72">
        <f t="shared" si="3"/>
        <v>395448.33333333331</v>
      </c>
      <c r="T18" s="72">
        <f t="shared" si="3"/>
        <v>398004</v>
      </c>
      <c r="U18" s="72">
        <f t="shared" si="3"/>
        <v>400559.66666666669</v>
      </c>
      <c r="V18" s="72">
        <f t="shared" si="3"/>
        <v>403115.33333333331</v>
      </c>
      <c r="W18" s="72">
        <f t="shared" si="3"/>
        <v>405671</v>
      </c>
      <c r="X18" s="72">
        <f t="shared" si="3"/>
        <v>408226.66666666669</v>
      </c>
      <c r="Y18" s="72">
        <f t="shared" si="3"/>
        <v>410782.33333333331</v>
      </c>
      <c r="Z18" s="73">
        <v>413338</v>
      </c>
      <c r="AA18" s="72">
        <f>Z18*(1+((($Z18/$B18)^(1/COUNT($B$17:$Z$17)))-1))</f>
        <v>416002.30965511076</v>
      </c>
      <c r="AB18" s="72">
        <f t="shared" ref="AB18:AJ18" si="4">AA18*(1+((($Z18/$B18)^(1/COUNT($B$17:$Z$17)))-1))</f>
        <v>418683.7930177885</v>
      </c>
      <c r="AC18" s="72">
        <f t="shared" si="4"/>
        <v>421382.56078696455</v>
      </c>
      <c r="AD18" s="72">
        <f t="shared" si="4"/>
        <v>424098.72437511763</v>
      </c>
      <c r="AE18" s="72">
        <f t="shared" si="4"/>
        <v>426832.39591287315</v>
      </c>
      <c r="AF18" s="72">
        <f t="shared" si="4"/>
        <v>429583.6882536324</v>
      </c>
      <c r="AG18" s="72">
        <f t="shared" si="4"/>
        <v>432352.71497823129</v>
      </c>
      <c r="AH18" s="72">
        <f t="shared" si="4"/>
        <v>435139.59039962944</v>
      </c>
      <c r="AI18" s="72">
        <f t="shared" si="4"/>
        <v>437944.42956762918</v>
      </c>
      <c r="AJ18" s="72">
        <f t="shared" si="4"/>
        <v>440767.34827362531</v>
      </c>
    </row>
    <row r="19" spans="1:36" x14ac:dyDescent="0.7">
      <c r="A19" s="80" t="s">
        <v>702</v>
      </c>
      <c r="B19" s="73">
        <v>271434</v>
      </c>
      <c r="C19" s="72"/>
      <c r="D19" s="72"/>
      <c r="E19" s="72"/>
      <c r="F19" s="72"/>
      <c r="G19" s="72"/>
      <c r="H19" s="72"/>
      <c r="I19" s="72"/>
      <c r="J19" s="72"/>
      <c r="K19" s="72"/>
      <c r="L19" s="72"/>
      <c r="M19" s="72"/>
      <c r="N19" s="72"/>
      <c r="O19" s="72"/>
      <c r="P19" s="72"/>
      <c r="Q19" s="72"/>
      <c r="R19" s="72"/>
      <c r="S19" s="72"/>
      <c r="T19" s="72"/>
      <c r="U19" s="72"/>
      <c r="V19" s="72"/>
      <c r="W19" s="72"/>
      <c r="X19" s="72"/>
      <c r="Y19" s="72"/>
      <c r="Z19" s="73"/>
      <c r="AA19" s="72"/>
      <c r="AB19" s="72"/>
      <c r="AC19" s="72"/>
      <c r="AD19" s="72"/>
      <c r="AE19" s="72"/>
      <c r="AF19" s="72"/>
      <c r="AG19" s="72"/>
      <c r="AH19" s="72"/>
      <c r="AI19" s="72"/>
      <c r="AJ19" s="72"/>
    </row>
    <row r="20" spans="1:36" x14ac:dyDescent="0.7">
      <c r="A20" s="80" t="s">
        <v>170</v>
      </c>
      <c r="B20" s="73">
        <v>35852</v>
      </c>
      <c r="C20" s="72">
        <f>(($B$20-$Z$20)/($B$17-$Z$17))*(C17-$Z$17)+$Z$20</f>
        <v>36149.458333333336</v>
      </c>
      <c r="D20" s="72">
        <f t="shared" ref="D20:Y20" si="5">(($B$20-$Z$20)/($B$17-$Z$17))*(D17-$Z$17)+$Z$20</f>
        <v>36446.916666666664</v>
      </c>
      <c r="E20" s="72">
        <f t="shared" si="5"/>
        <v>36744.375</v>
      </c>
      <c r="F20" s="72">
        <f t="shared" si="5"/>
        <v>37041.833333333336</v>
      </c>
      <c r="G20" s="72">
        <f t="shared" si="5"/>
        <v>37339.291666666664</v>
      </c>
      <c r="H20" s="72">
        <f t="shared" si="5"/>
        <v>37636.75</v>
      </c>
      <c r="I20" s="72">
        <f t="shared" si="5"/>
        <v>37934.208333333336</v>
      </c>
      <c r="J20" s="72">
        <f t="shared" si="5"/>
        <v>38231.666666666664</v>
      </c>
      <c r="K20" s="72">
        <f t="shared" si="5"/>
        <v>38529.125</v>
      </c>
      <c r="L20" s="72">
        <f t="shared" si="5"/>
        <v>38826.583333333336</v>
      </c>
      <c r="M20" s="72">
        <f t="shared" si="5"/>
        <v>39124.041666666664</v>
      </c>
      <c r="N20" s="72">
        <f t="shared" si="5"/>
        <v>39421.5</v>
      </c>
      <c r="O20" s="72">
        <f t="shared" si="5"/>
        <v>39718.958333333336</v>
      </c>
      <c r="P20" s="72">
        <f t="shared" si="5"/>
        <v>40016.416666666664</v>
      </c>
      <c r="Q20" s="72">
        <f t="shared" si="5"/>
        <v>40313.875</v>
      </c>
      <c r="R20" s="72">
        <f t="shared" si="5"/>
        <v>40611.333333333336</v>
      </c>
      <c r="S20" s="72">
        <f t="shared" si="5"/>
        <v>40908.791666666664</v>
      </c>
      <c r="T20" s="72">
        <f t="shared" si="5"/>
        <v>41206.25</v>
      </c>
      <c r="U20" s="72">
        <f t="shared" si="5"/>
        <v>41503.708333333336</v>
      </c>
      <c r="V20" s="72">
        <f t="shared" si="5"/>
        <v>41801.166666666664</v>
      </c>
      <c r="W20" s="72">
        <f t="shared" si="5"/>
        <v>42098.625</v>
      </c>
      <c r="X20" s="72">
        <f t="shared" si="5"/>
        <v>42396.083333333336</v>
      </c>
      <c r="Y20" s="72">
        <f t="shared" si="5"/>
        <v>42693.541666666664</v>
      </c>
      <c r="Z20" s="81">
        <v>42991</v>
      </c>
      <c r="AA20" s="72">
        <f t="shared" ref="AA20:AJ22" si="6">Z20*(1+((($Z20/$B20)^(1/COUNT($B$17:$Z$17)))-1))</f>
        <v>43304.408769394598</v>
      </c>
      <c r="AB20" s="72">
        <f t="shared" si="6"/>
        <v>43620.102320644321</v>
      </c>
      <c r="AC20" s="72">
        <f t="shared" si="6"/>
        <v>43938.09731004163</v>
      </c>
      <c r="AD20" s="72">
        <f t="shared" si="6"/>
        <v>44258.410515305062</v>
      </c>
      <c r="AE20" s="72">
        <f t="shared" si="6"/>
        <v>44581.058836464435</v>
      </c>
      <c r="AF20" s="72">
        <f t="shared" si="6"/>
        <v>44906.059296752508</v>
      </c>
      <c r="AG20" s="72">
        <f t="shared" si="6"/>
        <v>45233.429043503136</v>
      </c>
      <c r="AH20" s="72">
        <f t="shared" si="6"/>
        <v>45563.185349055981</v>
      </c>
      <c r="AI20" s="72">
        <f t="shared" si="6"/>
        <v>45895.345611667821</v>
      </c>
      <c r="AJ20" s="72">
        <f t="shared" si="6"/>
        <v>46229.927356430504</v>
      </c>
    </row>
    <row r="21" spans="1:36" x14ac:dyDescent="0.7">
      <c r="A21" s="80" t="s">
        <v>171</v>
      </c>
      <c r="B21" s="73">
        <v>4322</v>
      </c>
      <c r="C21" s="72">
        <f>(($B$21-$Z$21)/($B$17-$Z$17))*(C17-$Z$17)+$Z$21</f>
        <v>4355.166666666667</v>
      </c>
      <c r="D21" s="72">
        <f t="shared" ref="D21:Y21" si="7">(($B$21-$Z$21)/($B$17-$Z$17))*(D17-$Z$17)+$Z$21</f>
        <v>4388.333333333333</v>
      </c>
      <c r="E21" s="72">
        <f t="shared" si="7"/>
        <v>4421.5</v>
      </c>
      <c r="F21" s="72">
        <f t="shared" si="7"/>
        <v>4454.666666666667</v>
      </c>
      <c r="G21" s="72">
        <f t="shared" si="7"/>
        <v>4487.833333333333</v>
      </c>
      <c r="H21" s="72">
        <f t="shared" si="7"/>
        <v>4521</v>
      </c>
      <c r="I21" s="72">
        <f t="shared" si="7"/>
        <v>4554.166666666667</v>
      </c>
      <c r="J21" s="72">
        <f t="shared" si="7"/>
        <v>4587.333333333333</v>
      </c>
      <c r="K21" s="72">
        <f t="shared" si="7"/>
        <v>4620.5</v>
      </c>
      <c r="L21" s="72">
        <f t="shared" si="7"/>
        <v>4653.666666666667</v>
      </c>
      <c r="M21" s="72">
        <f t="shared" si="7"/>
        <v>4686.833333333333</v>
      </c>
      <c r="N21" s="72">
        <f t="shared" si="7"/>
        <v>4720</v>
      </c>
      <c r="O21" s="72">
        <f t="shared" si="7"/>
        <v>4753.166666666667</v>
      </c>
      <c r="P21" s="72">
        <f t="shared" si="7"/>
        <v>4786.333333333333</v>
      </c>
      <c r="Q21" s="72">
        <f t="shared" si="7"/>
        <v>4819.5</v>
      </c>
      <c r="R21" s="72">
        <f t="shared" si="7"/>
        <v>4852.666666666667</v>
      </c>
      <c r="S21" s="72">
        <f t="shared" si="7"/>
        <v>4885.833333333333</v>
      </c>
      <c r="T21" s="72">
        <f t="shared" si="7"/>
        <v>4919</v>
      </c>
      <c r="U21" s="72">
        <f t="shared" si="7"/>
        <v>4952.166666666667</v>
      </c>
      <c r="V21" s="72">
        <f t="shared" si="7"/>
        <v>4985.333333333333</v>
      </c>
      <c r="W21" s="72">
        <f t="shared" si="7"/>
        <v>5018.5</v>
      </c>
      <c r="X21" s="72">
        <f t="shared" si="7"/>
        <v>5051.666666666667</v>
      </c>
      <c r="Y21" s="72">
        <f t="shared" si="7"/>
        <v>5084.833333333333</v>
      </c>
      <c r="Z21" s="81">
        <v>5118</v>
      </c>
      <c r="AA21" s="72">
        <f t="shared" si="6"/>
        <v>5152.7242578653868</v>
      </c>
      <c r="AB21" s="72">
        <f t="shared" si="6"/>
        <v>5187.6841105108251</v>
      </c>
      <c r="AC21" s="72">
        <f t="shared" si="6"/>
        <v>5222.8811563837344</v>
      </c>
      <c r="AD21" s="72">
        <f t="shared" si="6"/>
        <v>5258.3170047765707</v>
      </c>
      <c r="AE21" s="72">
        <f t="shared" si="6"/>
        <v>5293.9932759004096</v>
      </c>
      <c r="AF21" s="72">
        <f t="shared" si="6"/>
        <v>5329.9116009590243</v>
      </c>
      <c r="AG21" s="72">
        <f t="shared" si="6"/>
        <v>5366.0736222234673</v>
      </c>
      <c r="AH21" s="72">
        <f t="shared" si="6"/>
        <v>5402.4809931071595</v>
      </c>
      <c r="AI21" s="72">
        <f t="shared" si="6"/>
        <v>5439.1353782414899</v>
      </c>
      <c r="AJ21" s="72">
        <f t="shared" si="6"/>
        <v>5476.0384535519242</v>
      </c>
    </row>
    <row r="22" spans="1:36" x14ac:dyDescent="0.7">
      <c r="A22" s="80" t="s">
        <v>172</v>
      </c>
      <c r="B22" s="73">
        <v>18123</v>
      </c>
      <c r="C22" s="72">
        <f>(($B$22-$Z$22)/($B$17-$Z$17))*(C17-$Z$17)+$Z$22</f>
        <v>18268.125</v>
      </c>
      <c r="D22" s="72">
        <f t="shared" ref="D22:Y22" si="8">(($B$22-$Z$22)/($B$17-$Z$17))*(D17-$Z$17)+$Z$22</f>
        <v>18413.25</v>
      </c>
      <c r="E22" s="72">
        <f t="shared" si="8"/>
        <v>18558.375</v>
      </c>
      <c r="F22" s="72">
        <f t="shared" si="8"/>
        <v>18703.5</v>
      </c>
      <c r="G22" s="72">
        <f t="shared" si="8"/>
        <v>18848.625</v>
      </c>
      <c r="H22" s="72">
        <f t="shared" si="8"/>
        <v>18993.75</v>
      </c>
      <c r="I22" s="72">
        <f t="shared" si="8"/>
        <v>19138.875</v>
      </c>
      <c r="J22" s="72">
        <f t="shared" si="8"/>
        <v>19284</v>
      </c>
      <c r="K22" s="72">
        <f t="shared" si="8"/>
        <v>19429.125</v>
      </c>
      <c r="L22" s="72">
        <f t="shared" si="8"/>
        <v>19574.25</v>
      </c>
      <c r="M22" s="72">
        <f t="shared" si="8"/>
        <v>19719.375</v>
      </c>
      <c r="N22" s="72">
        <f t="shared" si="8"/>
        <v>19864.5</v>
      </c>
      <c r="O22" s="72">
        <f t="shared" si="8"/>
        <v>20009.625</v>
      </c>
      <c r="P22" s="72">
        <f t="shared" si="8"/>
        <v>20154.75</v>
      </c>
      <c r="Q22" s="72">
        <f t="shared" si="8"/>
        <v>20299.875</v>
      </c>
      <c r="R22" s="72">
        <f t="shared" si="8"/>
        <v>20445</v>
      </c>
      <c r="S22" s="72">
        <f t="shared" si="8"/>
        <v>20590.125</v>
      </c>
      <c r="T22" s="72">
        <f t="shared" si="8"/>
        <v>20735.25</v>
      </c>
      <c r="U22" s="72">
        <f t="shared" si="8"/>
        <v>20880.375</v>
      </c>
      <c r="V22" s="72">
        <f t="shared" si="8"/>
        <v>21025.5</v>
      </c>
      <c r="W22" s="72">
        <f t="shared" si="8"/>
        <v>21170.625</v>
      </c>
      <c r="X22" s="72">
        <f t="shared" si="8"/>
        <v>21315.75</v>
      </c>
      <c r="Y22" s="72">
        <f t="shared" si="8"/>
        <v>21460.875</v>
      </c>
      <c r="Z22" s="81">
        <v>21606</v>
      </c>
      <c r="AA22" s="72">
        <f t="shared" si="6"/>
        <v>21758.459448056161</v>
      </c>
      <c r="AB22" s="72">
        <f t="shared" si="6"/>
        <v>21911.994702985488</v>
      </c>
      <c r="AC22" s="72">
        <f t="shared" si="6"/>
        <v>22066.613356055317</v>
      </c>
      <c r="AD22" s="72">
        <f t="shared" si="6"/>
        <v>22222.323052099608</v>
      </c>
      <c r="AE22" s="72">
        <f t="shared" si="6"/>
        <v>22379.131489896925</v>
      </c>
      <c r="AF22" s="72">
        <f t="shared" si="6"/>
        <v>22537.046422551091</v>
      </c>
      <c r="AG22" s="72">
        <f t="shared" si="6"/>
        <v>22696.075657874531</v>
      </c>
      <c r="AH22" s="72">
        <f t="shared" si="6"/>
        <v>22856.227058774301</v>
      </c>
      <c r="AI22" s="72">
        <f t="shared" si="6"/>
        <v>23017.508543640866</v>
      </c>
      <c r="AJ22" s="72">
        <f t="shared" si="6"/>
        <v>23179.928086739612</v>
      </c>
    </row>
    <row r="23" spans="1:36" x14ac:dyDescent="0.7">
      <c r="A23" s="80" t="s">
        <v>173</v>
      </c>
      <c r="B23" s="72">
        <f>SUM(B18:B22)</f>
        <v>681733</v>
      </c>
      <c r="C23" s="72">
        <f>SUM(C18:C22)</f>
        <v>413330.41666666669</v>
      </c>
      <c r="D23" s="72">
        <f t="shared" ref="D23:AF23" si="9">SUM(D18:D22)</f>
        <v>416361.83333333331</v>
      </c>
      <c r="E23" s="72">
        <f t="shared" si="9"/>
        <v>419393.25</v>
      </c>
      <c r="F23" s="72">
        <f t="shared" si="9"/>
        <v>422424.66666666669</v>
      </c>
      <c r="G23" s="72">
        <f t="shared" si="9"/>
        <v>425456.08333333331</v>
      </c>
      <c r="H23" s="72">
        <f t="shared" si="9"/>
        <v>428487.5</v>
      </c>
      <c r="I23" s="72">
        <f t="shared" si="9"/>
        <v>431518.91666666669</v>
      </c>
      <c r="J23" s="72">
        <f t="shared" si="9"/>
        <v>434550.33333333331</v>
      </c>
      <c r="K23" s="72">
        <f t="shared" si="9"/>
        <v>437581.75</v>
      </c>
      <c r="L23" s="72">
        <f t="shared" si="9"/>
        <v>440613.16666666669</v>
      </c>
      <c r="M23" s="72">
        <f t="shared" si="9"/>
        <v>443644.58333333331</v>
      </c>
      <c r="N23" s="72">
        <f t="shared" si="9"/>
        <v>446676</v>
      </c>
      <c r="O23" s="72">
        <f t="shared" si="9"/>
        <v>449707.41666666669</v>
      </c>
      <c r="P23" s="72">
        <f t="shared" si="9"/>
        <v>452738.83333333331</v>
      </c>
      <c r="Q23" s="72">
        <f t="shared" si="9"/>
        <v>455770.25</v>
      </c>
      <c r="R23" s="72">
        <f t="shared" si="9"/>
        <v>458801.66666666669</v>
      </c>
      <c r="S23" s="72">
        <f t="shared" si="9"/>
        <v>461833.08333333331</v>
      </c>
      <c r="T23" s="72">
        <f t="shared" si="9"/>
        <v>464864.5</v>
      </c>
      <c r="U23" s="72">
        <f t="shared" si="9"/>
        <v>467895.91666666669</v>
      </c>
      <c r="V23" s="72">
        <f t="shared" si="9"/>
        <v>470927.33333333331</v>
      </c>
      <c r="W23" s="72">
        <f t="shared" si="9"/>
        <v>473958.75</v>
      </c>
      <c r="X23" s="72">
        <f t="shared" si="9"/>
        <v>476990.16666666669</v>
      </c>
      <c r="Y23" s="72">
        <f t="shared" si="9"/>
        <v>480021.58333333331</v>
      </c>
      <c r="Z23" s="72">
        <f t="shared" si="9"/>
        <v>483053</v>
      </c>
      <c r="AA23" s="72">
        <f t="shared" si="9"/>
        <v>486217.90213042696</v>
      </c>
      <c r="AB23" s="72">
        <f t="shared" si="9"/>
        <v>489403.57415192912</v>
      </c>
      <c r="AC23" s="72">
        <f t="shared" si="9"/>
        <v>492610.15260944521</v>
      </c>
      <c r="AD23" s="72">
        <f t="shared" si="9"/>
        <v>495837.77494729887</v>
      </c>
      <c r="AE23" s="72">
        <f t="shared" si="9"/>
        <v>499086.57951513492</v>
      </c>
      <c r="AF23" s="72">
        <f t="shared" si="9"/>
        <v>502356.70557389501</v>
      </c>
      <c r="AG23" s="72">
        <f t="shared" ref="AG23:AJ23" si="10">SUM(AG18:AG22)</f>
        <v>505648.2933018324</v>
      </c>
      <c r="AH23" s="72">
        <f t="shared" si="10"/>
        <v>508961.48380056687</v>
      </c>
      <c r="AI23" s="72">
        <f t="shared" si="10"/>
        <v>512296.41910117934</v>
      </c>
      <c r="AJ23" s="72">
        <f t="shared" si="10"/>
        <v>515653.24217034737</v>
      </c>
    </row>
    <row r="24" spans="1:36" x14ac:dyDescent="0.7">
      <c r="A24" s="80" t="s">
        <v>174</v>
      </c>
      <c r="B24" s="27"/>
      <c r="C24" s="27">
        <f>(C23-B23)/B23</f>
        <v>-0.39370630926379291</v>
      </c>
      <c r="D24" s="27">
        <f t="shared" ref="D24" si="11">(D23-C23)/C23</f>
        <v>7.3341243335385501E-3</v>
      </c>
      <c r="E24" s="27">
        <f>(E23-D23)/D23</f>
        <v>7.2807265795656571E-3</v>
      </c>
      <c r="F24" s="27">
        <f t="shared" ref="F24" si="12">(F23-E23)/E23</f>
        <v>7.2281007542841615E-3</v>
      </c>
      <c r="G24" s="27">
        <f t="shared" ref="G24" si="13">(G23-F23)/F23</f>
        <v>7.1762302390800123E-3</v>
      </c>
      <c r="H24" s="27">
        <f t="shared" ref="H24" si="14">(H23-G23)/G23</f>
        <v>7.1250988889766404E-3</v>
      </c>
      <c r="I24" s="27">
        <f t="shared" ref="I24" si="15">(I23-H23)/H23</f>
        <v>7.0746910158795435E-3</v>
      </c>
      <c r="J24" s="27">
        <f t="shared" ref="J24" si="16">(J23-I23)/I23</f>
        <v>7.0249913725295423E-3</v>
      </c>
      <c r="K24" s="27">
        <f t="shared" ref="K24" si="17">(K23-J23)/J23</f>
        <v>6.9759851371264696E-3</v>
      </c>
      <c r="L24" s="27">
        <f t="shared" ref="L24" si="18">(L23-K23)/K23</f>
        <v>6.9276578985908027E-3</v>
      </c>
      <c r="M24" s="27">
        <f t="shared" ref="M24" si="19">(M23-L23)/L23</f>
        <v>6.8799956424360773E-3</v>
      </c>
      <c r="N24" s="27">
        <f t="shared" ref="N24" si="20">(N23-M23)/M23</f>
        <v>6.8329847372193084E-3</v>
      </c>
      <c r="O24" s="27">
        <f t="shared" ref="O24" si="21">(O23-N23)/N23</f>
        <v>6.7866119215419813E-3</v>
      </c>
      <c r="P24" s="27">
        <f t="shared" ref="P24" si="22">(P23-O23)/O23</f>
        <v>6.7408642915791238E-3</v>
      </c>
      <c r="Q24" s="27">
        <f t="shared" ref="Q24" si="23">(Q23-P23)/P23</f>
        <v>6.6957292891082227E-3</v>
      </c>
      <c r="R24" s="27">
        <f t="shared" ref="R24" si="24">(R23-Q23)/Q23</f>
        <v>6.6511946900147303E-3</v>
      </c>
      <c r="S24" s="27">
        <f t="shared" ref="S24" si="25">(S23-R23)/R23</f>
        <v>6.6072485932555337E-3</v>
      </c>
      <c r="T24" s="27">
        <f t="shared" ref="T24" si="26">(T23-S23)/S23</f>
        <v>6.563879410255948E-3</v>
      </c>
      <c r="U24" s="27">
        <f t="shared" ref="U24" si="27">(U23-T23)/T23</f>
        <v>6.5210758547204319E-3</v>
      </c>
      <c r="V24" s="27">
        <f t="shared" ref="V24" si="28">(V23-U23)/U23</f>
        <v>6.4788269328416399E-3</v>
      </c>
      <c r="W24" s="27">
        <f t="shared" ref="W24" si="29">(W23-V23)/V23</f>
        <v>6.4371219338865155E-3</v>
      </c>
      <c r="X24" s="27">
        <f t="shared" ref="X24" si="30">(X23-W23)/W23</f>
        <v>6.395950421142528E-3</v>
      </c>
      <c r="Y24" s="27">
        <f t="shared" ref="Y24" si="31">(Y23-X23)/X23</f>
        <v>6.355302223211368E-3</v>
      </c>
      <c r="Z24" s="27">
        <f t="shared" ref="Z24" si="32">(Z23-Y23)/Y23</f>
        <v>6.3151674256314225E-3</v>
      </c>
      <c r="AA24" s="27">
        <f t="shared" ref="AA24" si="33">(AA23-Z23)/Z23</f>
        <v>6.5518734599038933E-3</v>
      </c>
      <c r="AB24" s="27">
        <f t="shared" ref="AB24" si="34">(AB23-AA23)/AA23</f>
        <v>6.5519430846616858E-3</v>
      </c>
      <c r="AC24" s="27">
        <f t="shared" ref="AC24" si="35">(AC23-AB23)/AB23</f>
        <v>6.5520127495445153E-3</v>
      </c>
      <c r="AD24" s="27">
        <f t="shared" ref="AD24" si="36">(AD23-AC23)/AC23</f>
        <v>6.5520824545664607E-3</v>
      </c>
      <c r="AE24" s="27">
        <f t="shared" ref="AE24" si="37">(AE23-AD23)/AD23</f>
        <v>6.5521521997418536E-3</v>
      </c>
      <c r="AF24" s="27">
        <f t="shared" ref="AF24" si="38">(AF23-AE23)/AE23</f>
        <v>6.5522219850853184E-3</v>
      </c>
      <c r="AG24" s="27">
        <f t="shared" ref="AG24" si="39">(AG23-AF23)/AF23</f>
        <v>6.5522918106110557E-3</v>
      </c>
      <c r="AH24" s="27">
        <f t="shared" ref="AH24" si="40">(AH23-AG23)/AG23</f>
        <v>6.5523616763337126E-3</v>
      </c>
      <c r="AI24" s="27">
        <f t="shared" ref="AI24" si="41">(AI23-AH23)/AH23</f>
        <v>6.552431582267323E-3</v>
      </c>
      <c r="AJ24" s="27">
        <f t="shared" ref="AJ24" si="42">(AJ23-AI23)/AI23</f>
        <v>6.5525015284267369E-3</v>
      </c>
    </row>
    <row r="25" spans="1:36" s="28" customFormat="1" x14ac:dyDescent="0.3">
      <c r="A25" s="539"/>
      <c r="B25" s="539"/>
      <c r="C25" s="539"/>
      <c r="D25" s="539"/>
      <c r="E25" s="539"/>
      <c r="F25" s="539"/>
      <c r="G25" s="539"/>
      <c r="H25" s="539"/>
      <c r="I25" s="539"/>
      <c r="J25" s="539"/>
      <c r="K25" s="539"/>
      <c r="L25" s="539"/>
      <c r="M25" s="30"/>
      <c r="N25" s="45"/>
      <c r="O25" s="45"/>
      <c r="P25" s="45"/>
      <c r="Q25" s="45"/>
      <c r="R25" s="45"/>
      <c r="S25" s="45"/>
      <c r="T25" s="45"/>
      <c r="U25" s="45"/>
    </row>
    <row r="26" spans="1:36" ht="26.4" x14ac:dyDescent="0.9">
      <c r="A26" s="77" t="s">
        <v>330</v>
      </c>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9"/>
    </row>
    <row r="27" spans="1:36" ht="24" x14ac:dyDescent="0.85">
      <c r="A27" s="201" t="s">
        <v>36</v>
      </c>
      <c r="B27" s="202"/>
      <c r="C27" s="202"/>
      <c r="D27" s="202"/>
      <c r="E27" s="202"/>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3"/>
    </row>
    <row r="28" spans="1:36" s="205" customFormat="1" x14ac:dyDescent="0.7">
      <c r="A28" s="541" t="s">
        <v>606</v>
      </c>
      <c r="B28" s="541"/>
      <c r="C28" s="541"/>
      <c r="D28" s="541"/>
      <c r="E28" s="541"/>
      <c r="F28" s="541"/>
      <c r="G28" s="541"/>
      <c r="H28" s="541"/>
      <c r="I28" s="541"/>
      <c r="J28" s="541"/>
      <c r="K28" s="541"/>
      <c r="L28" s="541"/>
      <c r="AE28" s="61"/>
      <c r="AF28" s="61"/>
      <c r="AG28" s="61"/>
      <c r="AH28" s="61"/>
      <c r="AI28" s="61"/>
      <c r="AJ28" s="61"/>
    </row>
    <row r="29" spans="1:36" s="205" customFormat="1" x14ac:dyDescent="0.7">
      <c r="A29" s="541" t="s">
        <v>536</v>
      </c>
      <c r="B29" s="541"/>
      <c r="C29" s="541"/>
      <c r="D29" s="541"/>
      <c r="E29" s="541"/>
      <c r="F29" s="541"/>
      <c r="G29" s="541"/>
      <c r="H29" s="541"/>
      <c r="I29" s="541"/>
      <c r="J29" s="541"/>
      <c r="K29" s="541"/>
      <c r="L29" s="541"/>
      <c r="AE29" s="61"/>
      <c r="AF29" s="61"/>
      <c r="AG29" s="61"/>
      <c r="AH29" s="61"/>
      <c r="AI29" s="61"/>
      <c r="AJ29" s="61"/>
    </row>
    <row r="30" spans="1:36" s="205" customFormat="1" x14ac:dyDescent="0.7">
      <c r="A30" s="541" t="s">
        <v>607</v>
      </c>
      <c r="B30" s="541"/>
      <c r="C30" s="541"/>
      <c r="D30" s="541"/>
      <c r="E30" s="541"/>
      <c r="F30" s="541"/>
      <c r="G30" s="541"/>
      <c r="H30" s="541"/>
      <c r="I30" s="541"/>
      <c r="J30" s="541"/>
      <c r="K30" s="541"/>
      <c r="L30" s="541"/>
      <c r="AE30" s="61"/>
      <c r="AF30" s="61"/>
      <c r="AG30" s="61"/>
      <c r="AH30" s="61"/>
      <c r="AI30" s="61"/>
      <c r="AJ30" s="61"/>
    </row>
    <row r="31" spans="1:36" ht="24" x14ac:dyDescent="0.85">
      <c r="A31" s="201" t="s">
        <v>334</v>
      </c>
      <c r="B31" s="202"/>
      <c r="C31" s="202"/>
      <c r="D31" s="202"/>
      <c r="E31" s="202"/>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3"/>
    </row>
    <row r="32" spans="1:36" ht="25.35" customHeight="1" x14ac:dyDescent="0.7">
      <c r="A32" s="290"/>
      <c r="B32" s="291">
        <v>2022</v>
      </c>
      <c r="C32" s="291">
        <v>2023</v>
      </c>
      <c r="D32" s="291">
        <v>2024</v>
      </c>
      <c r="E32" s="291">
        <v>2025</v>
      </c>
      <c r="F32" s="291">
        <v>2026</v>
      </c>
      <c r="G32" s="291">
        <v>2027</v>
      </c>
      <c r="H32" s="291">
        <v>2028</v>
      </c>
      <c r="I32" s="291">
        <v>2029</v>
      </c>
      <c r="J32" s="291">
        <v>2030</v>
      </c>
      <c r="K32" s="291">
        <v>2031</v>
      </c>
      <c r="L32" s="291">
        <v>2032</v>
      </c>
      <c r="M32" s="291">
        <v>2033</v>
      </c>
      <c r="N32" s="291">
        <v>2034</v>
      </c>
      <c r="O32" s="291">
        <v>2035</v>
      </c>
      <c r="P32" s="291">
        <v>2036</v>
      </c>
      <c r="Q32" s="291">
        <v>2037</v>
      </c>
      <c r="R32" s="291">
        <v>2038</v>
      </c>
      <c r="S32" s="291">
        <v>2039</v>
      </c>
      <c r="T32" s="24">
        <v>2040</v>
      </c>
      <c r="U32" s="24">
        <v>2041</v>
      </c>
      <c r="V32" s="24">
        <v>2042</v>
      </c>
      <c r="W32" s="24">
        <v>2043</v>
      </c>
      <c r="X32" s="24">
        <v>2044</v>
      </c>
      <c r="Y32" s="24">
        <v>2045</v>
      </c>
      <c r="Z32" s="24">
        <v>2046</v>
      </c>
      <c r="AA32" s="24">
        <v>2047</v>
      </c>
      <c r="AB32" s="24">
        <v>2048</v>
      </c>
      <c r="AC32" s="24">
        <v>2049</v>
      </c>
      <c r="AD32" s="24">
        <v>2050</v>
      </c>
    </row>
    <row r="33" spans="1:30" x14ac:dyDescent="0.7">
      <c r="A33" s="93" t="s">
        <v>169</v>
      </c>
      <c r="B33" s="46">
        <v>701174480</v>
      </c>
      <c r="C33" s="49">
        <f t="shared" ref="C33:AD33" si="43">B33*(1+((I18-H18)/H18))</f>
        <v>706052761.0452919</v>
      </c>
      <c r="D33" s="49">
        <f t="shared" si="43"/>
        <v>710931042.09058368</v>
      </c>
      <c r="E33" s="49">
        <f t="shared" si="43"/>
        <v>715809323.1358757</v>
      </c>
      <c r="F33" s="49">
        <f t="shared" si="43"/>
        <v>720687604.1811676</v>
      </c>
      <c r="G33" s="49">
        <f t="shared" si="43"/>
        <v>725565885.2264595</v>
      </c>
      <c r="H33" s="49">
        <f t="shared" si="43"/>
        <v>730444166.27175152</v>
      </c>
      <c r="I33" s="49">
        <f t="shared" si="43"/>
        <v>735322447.31704342</v>
      </c>
      <c r="J33" s="49">
        <f t="shared" si="43"/>
        <v>740200728.36233521</v>
      </c>
      <c r="K33" s="49">
        <f t="shared" si="43"/>
        <v>745079009.40762711</v>
      </c>
      <c r="L33" s="49">
        <f t="shared" si="43"/>
        <v>749957290.45291901</v>
      </c>
      <c r="M33" s="49">
        <f t="shared" si="43"/>
        <v>754835571.49821079</v>
      </c>
      <c r="N33" s="49">
        <f t="shared" si="43"/>
        <v>759713852.54350269</v>
      </c>
      <c r="O33" s="49">
        <f t="shared" si="43"/>
        <v>764592133.58879471</v>
      </c>
      <c r="P33" s="49">
        <f t="shared" si="43"/>
        <v>769470414.63408649</v>
      </c>
      <c r="Q33" s="49">
        <f t="shared" si="43"/>
        <v>774348695.67937839</v>
      </c>
      <c r="R33" s="49">
        <f t="shared" si="43"/>
        <v>779226976.72467029</v>
      </c>
      <c r="S33" s="49">
        <f t="shared" si="43"/>
        <v>784105257.76996207</v>
      </c>
      <c r="T33" s="49">
        <f t="shared" si="43"/>
        <v>788983538.81525397</v>
      </c>
      <c r="U33" s="49">
        <f t="shared" si="43"/>
        <v>794069198.63890672</v>
      </c>
      <c r="V33" s="49">
        <f t="shared" si="43"/>
        <v>799187639.80027997</v>
      </c>
      <c r="W33" s="49">
        <f t="shared" si="43"/>
        <v>804339073.60255575</v>
      </c>
      <c r="X33" s="49">
        <f t="shared" si="43"/>
        <v>809523712.71094203</v>
      </c>
      <c r="Y33" s="49">
        <f t="shared" si="43"/>
        <v>814741771.16145205</v>
      </c>
      <c r="Z33" s="49">
        <f t="shared" si="43"/>
        <v>819993464.36974049</v>
      </c>
      <c r="AA33" s="49">
        <f t="shared" si="43"/>
        <v>825279009.13999641</v>
      </c>
      <c r="AB33" s="49">
        <f t="shared" si="43"/>
        <v>830598623.67389345</v>
      </c>
      <c r="AC33" s="49">
        <f t="shared" si="43"/>
        <v>835952527.57959795</v>
      </c>
      <c r="AD33" s="49">
        <f t="shared" si="43"/>
        <v>841340941.8808347</v>
      </c>
    </row>
    <row r="34" spans="1:30" x14ac:dyDescent="0.7">
      <c r="A34" s="93" t="s">
        <v>170</v>
      </c>
      <c r="B34" s="46">
        <v>64853550</v>
      </c>
      <c r="C34" s="49">
        <f t="shared" ref="C34:L36" si="44">B34*(1+((I20-H20)/H20))</f>
        <v>65366113.621825747</v>
      </c>
      <c r="D34" s="49">
        <f t="shared" si="44"/>
        <v>65878677.243651472</v>
      </c>
      <c r="E34" s="49">
        <f t="shared" si="44"/>
        <v>66391240.865477227</v>
      </c>
      <c r="F34" s="49">
        <f t="shared" si="44"/>
        <v>66903804.487302966</v>
      </c>
      <c r="G34" s="49">
        <f t="shared" si="44"/>
        <v>67416368.109128699</v>
      </c>
      <c r="H34" s="49">
        <f t="shared" si="44"/>
        <v>67928931.730954453</v>
      </c>
      <c r="I34" s="49">
        <f t="shared" si="44"/>
        <v>68441495.352780193</v>
      </c>
      <c r="J34" s="49">
        <f t="shared" si="44"/>
        <v>68954058.974605918</v>
      </c>
      <c r="K34" s="49">
        <f t="shared" si="44"/>
        <v>69466622.596431658</v>
      </c>
      <c r="L34" s="49">
        <f t="shared" si="44"/>
        <v>69979186.218257397</v>
      </c>
      <c r="M34" s="49">
        <f t="shared" ref="M34:V36" si="45">L34*(1+((S20-R20)/R20))</f>
        <v>70491749.840083137</v>
      </c>
      <c r="N34" s="49">
        <f t="shared" si="45"/>
        <v>71004313.461908877</v>
      </c>
      <c r="O34" s="49">
        <f t="shared" si="45"/>
        <v>71516877.083734632</v>
      </c>
      <c r="P34" s="49">
        <f t="shared" si="45"/>
        <v>72029440.705560356</v>
      </c>
      <c r="Q34" s="49">
        <f t="shared" si="45"/>
        <v>72542004.327386111</v>
      </c>
      <c r="R34" s="49">
        <f t="shared" si="45"/>
        <v>73054567.949211851</v>
      </c>
      <c r="S34" s="49">
        <f t="shared" si="45"/>
        <v>73567131.571037591</v>
      </c>
      <c r="T34" s="49">
        <f t="shared" si="45"/>
        <v>74079695.19286333</v>
      </c>
      <c r="U34" s="49">
        <f t="shared" si="45"/>
        <v>74619743.717148006</v>
      </c>
      <c r="V34" s="49">
        <f t="shared" si="45"/>
        <v>75163729.250188217</v>
      </c>
      <c r="W34" s="49">
        <f t="shared" ref="W34:AF36" si="46">V34*(1+((AC20-AB20)/AB20))</f>
        <v>75711680.493178844</v>
      </c>
      <c r="X34" s="49">
        <f t="shared" si="46"/>
        <v>76263626.356549412</v>
      </c>
      <c r="Y34" s="49">
        <f t="shared" si="46"/>
        <v>76819595.961489409</v>
      </c>
      <c r="Z34" s="49">
        <f t="shared" si="46"/>
        <v>77379618.641484767</v>
      </c>
      <c r="AA34" s="49">
        <f t="shared" si="46"/>
        <v>77943723.943865523</v>
      </c>
      <c r="AB34" s="49">
        <f t="shared" si="46"/>
        <v>78511941.631364748</v>
      </c>
      <c r="AC34" s="49">
        <f t="shared" si="46"/>
        <v>79084301.683688879</v>
      </c>
      <c r="AD34" s="49">
        <f t="shared" si="46"/>
        <v>79660834.29909946</v>
      </c>
    </row>
    <row r="35" spans="1:30" x14ac:dyDescent="0.7">
      <c r="A35" s="93" t="s">
        <v>171</v>
      </c>
      <c r="B35" s="46">
        <v>4371310</v>
      </c>
      <c r="C35" s="49">
        <f t="shared" si="44"/>
        <v>4403378.5206075357</v>
      </c>
      <c r="D35" s="49">
        <f t="shared" si="44"/>
        <v>4435447.0412150705</v>
      </c>
      <c r="E35" s="49">
        <f t="shared" si="44"/>
        <v>4467515.5618226053</v>
      </c>
      <c r="F35" s="49">
        <f t="shared" si="44"/>
        <v>4499584.082430141</v>
      </c>
      <c r="G35" s="49">
        <f t="shared" si="44"/>
        <v>4531652.6030376758</v>
      </c>
      <c r="H35" s="49">
        <f t="shared" si="44"/>
        <v>4563721.1236452116</v>
      </c>
      <c r="I35" s="49">
        <f t="shared" si="44"/>
        <v>4595789.6442527473</v>
      </c>
      <c r="J35" s="49">
        <f t="shared" si="44"/>
        <v>4627858.1648602821</v>
      </c>
      <c r="K35" s="49">
        <f t="shared" si="44"/>
        <v>4659926.6854678178</v>
      </c>
      <c r="L35" s="49">
        <f t="shared" si="44"/>
        <v>4691995.2060753526</v>
      </c>
      <c r="M35" s="49">
        <f t="shared" si="45"/>
        <v>4724063.7266828874</v>
      </c>
      <c r="N35" s="49">
        <f t="shared" si="45"/>
        <v>4756132.2472904231</v>
      </c>
      <c r="O35" s="49">
        <f t="shared" si="45"/>
        <v>4788200.7678979579</v>
      </c>
      <c r="P35" s="49">
        <f t="shared" si="45"/>
        <v>4820269.2885054927</v>
      </c>
      <c r="Q35" s="49">
        <f t="shared" si="45"/>
        <v>4852337.8091130285</v>
      </c>
      <c r="R35" s="49">
        <f t="shared" si="45"/>
        <v>4884406.3297205642</v>
      </c>
      <c r="S35" s="49">
        <f t="shared" si="45"/>
        <v>4916474.8503280981</v>
      </c>
      <c r="T35" s="49">
        <f t="shared" si="45"/>
        <v>4948543.3709356338</v>
      </c>
      <c r="U35" s="49">
        <f t="shared" si="45"/>
        <v>4982117.9110041019</v>
      </c>
      <c r="V35" s="49">
        <f t="shared" si="45"/>
        <v>5015920.2453256082</v>
      </c>
      <c r="W35" s="49">
        <f t="shared" si="46"/>
        <v>5049951.9194230875</v>
      </c>
      <c r="X35" s="49">
        <f t="shared" si="46"/>
        <v>5084214.4893054347</v>
      </c>
      <c r="Y35" s="49">
        <f t="shared" si="46"/>
        <v>5118709.5215386469</v>
      </c>
      <c r="Z35" s="49">
        <f t="shared" si="46"/>
        <v>5153438.593317451</v>
      </c>
      <c r="AA35" s="49">
        <f t="shared" si="46"/>
        <v>5188403.2925374182</v>
      </c>
      <c r="AB35" s="49">
        <f t="shared" si="46"/>
        <v>5223605.2178675653</v>
      </c>
      <c r="AC35" s="49">
        <f t="shared" si="46"/>
        <v>5259045.9788234495</v>
      </c>
      <c r="AD35" s="49">
        <f t="shared" si="46"/>
        <v>5294727.1958407592</v>
      </c>
    </row>
    <row r="36" spans="1:30" x14ac:dyDescent="0.7">
      <c r="A36" s="93" t="s">
        <v>172</v>
      </c>
      <c r="B36" s="46">
        <v>37578650</v>
      </c>
      <c r="C36" s="49">
        <f t="shared" si="44"/>
        <v>37865776.111549847</v>
      </c>
      <c r="D36" s="49">
        <f t="shared" si="44"/>
        <v>38152902.223099701</v>
      </c>
      <c r="E36" s="49">
        <f t="shared" si="44"/>
        <v>38440028.334649555</v>
      </c>
      <c r="F36" s="49">
        <f t="shared" si="44"/>
        <v>38727154.44619941</v>
      </c>
      <c r="G36" s="49">
        <f t="shared" si="44"/>
        <v>39014280.557749264</v>
      </c>
      <c r="H36" s="49">
        <f t="shared" si="44"/>
        <v>39301406.669299111</v>
      </c>
      <c r="I36" s="49">
        <f t="shared" si="44"/>
        <v>39588532.780848965</v>
      </c>
      <c r="J36" s="49">
        <f t="shared" si="44"/>
        <v>39875658.892398819</v>
      </c>
      <c r="K36" s="49">
        <f t="shared" si="44"/>
        <v>40162785.003948674</v>
      </c>
      <c r="L36" s="49">
        <f t="shared" si="44"/>
        <v>40449911.115498528</v>
      </c>
      <c r="M36" s="49">
        <f t="shared" si="45"/>
        <v>40737037.227048382</v>
      </c>
      <c r="N36" s="49">
        <f t="shared" si="45"/>
        <v>41024163.338598236</v>
      </c>
      <c r="O36" s="49">
        <f t="shared" si="45"/>
        <v>41311289.450148091</v>
      </c>
      <c r="P36" s="49">
        <f t="shared" si="45"/>
        <v>41598415.561697938</v>
      </c>
      <c r="Q36" s="49">
        <f t="shared" si="45"/>
        <v>41885541.673247784</v>
      </c>
      <c r="R36" s="49">
        <f t="shared" si="45"/>
        <v>42172667.784797631</v>
      </c>
      <c r="S36" s="49">
        <f t="shared" si="45"/>
        <v>42459793.896347485</v>
      </c>
      <c r="T36" s="49">
        <f t="shared" si="45"/>
        <v>42746920.007897332</v>
      </c>
      <c r="U36" s="49">
        <f t="shared" si="45"/>
        <v>43048557.137884602</v>
      </c>
      <c r="V36" s="49">
        <f t="shared" si="45"/>
        <v>43352322.724335402</v>
      </c>
      <c r="W36" s="49">
        <f t="shared" si="46"/>
        <v>43658231.786378577</v>
      </c>
      <c r="X36" s="49">
        <f t="shared" si="46"/>
        <v>43966299.449123152</v>
      </c>
      <c r="Y36" s="49">
        <f t="shared" si="46"/>
        <v>44276540.944406189</v>
      </c>
      <c r="Z36" s="49">
        <f t="shared" si="46"/>
        <v>44588971.611545883</v>
      </c>
      <c r="AA36" s="49">
        <f t="shared" si="46"/>
        <v>44903606.898099996</v>
      </c>
      <c r="AB36" s="49">
        <f t="shared" si="46"/>
        <v>45220462.360629626</v>
      </c>
      <c r="AC36" s="49">
        <f t="shared" si="46"/>
        <v>45539553.665468372</v>
      </c>
      <c r="AD36" s="49">
        <f t="shared" si="46"/>
        <v>45860896.58949694</v>
      </c>
    </row>
    <row r="37" spans="1:30" x14ac:dyDescent="0.7">
      <c r="A37" s="93" t="s">
        <v>702</v>
      </c>
      <c r="B37" s="49">
        <f t="shared" ref="B37:AD37" si="47">B33*($B$19/$B$18)</f>
        <v>540686114.86389279</v>
      </c>
      <c r="C37" s="49">
        <f t="shared" si="47"/>
        <v>544447830.24405479</v>
      </c>
      <c r="D37" s="49">
        <f t="shared" si="47"/>
        <v>548209545.62421668</v>
      </c>
      <c r="E37" s="49">
        <f t="shared" si="47"/>
        <v>551971261.00437868</v>
      </c>
      <c r="F37" s="49">
        <f t="shared" si="47"/>
        <v>555732976.38454056</v>
      </c>
      <c r="G37" s="49">
        <f t="shared" si="47"/>
        <v>559494691.76470256</v>
      </c>
      <c r="H37" s="49">
        <f t="shared" si="47"/>
        <v>563256407.14486456</v>
      </c>
      <c r="I37" s="49">
        <f t="shared" si="47"/>
        <v>567018122.52502644</v>
      </c>
      <c r="J37" s="49">
        <f t="shared" si="47"/>
        <v>570779837.90518832</v>
      </c>
      <c r="K37" s="49">
        <f t="shared" si="47"/>
        <v>574541553.2853502</v>
      </c>
      <c r="L37" s="49">
        <f t="shared" si="47"/>
        <v>578303268.6655122</v>
      </c>
      <c r="M37" s="49">
        <f t="shared" si="47"/>
        <v>582064984.04567409</v>
      </c>
      <c r="N37" s="49">
        <f t="shared" si="47"/>
        <v>585826699.42583597</v>
      </c>
      <c r="O37" s="49">
        <f t="shared" si="47"/>
        <v>589588414.80599797</v>
      </c>
      <c r="P37" s="49">
        <f t="shared" si="47"/>
        <v>593350130.18615985</v>
      </c>
      <c r="Q37" s="49">
        <f t="shared" si="47"/>
        <v>597111845.56632173</v>
      </c>
      <c r="R37" s="49">
        <f t="shared" si="47"/>
        <v>600873560.94648373</v>
      </c>
      <c r="S37" s="49">
        <f t="shared" si="47"/>
        <v>604635276.32664561</v>
      </c>
      <c r="T37" s="49">
        <f t="shared" si="47"/>
        <v>608396991.70680749</v>
      </c>
      <c r="U37" s="49">
        <f t="shared" si="47"/>
        <v>612318619.96054852</v>
      </c>
      <c r="V37" s="49">
        <f t="shared" si="47"/>
        <v>616265526.39345574</v>
      </c>
      <c r="W37" s="49">
        <f t="shared" si="47"/>
        <v>620237873.94456887</v>
      </c>
      <c r="X37" s="49">
        <f t="shared" si="47"/>
        <v>624235826.6032064</v>
      </c>
      <c r="Y37" s="49">
        <f t="shared" si="47"/>
        <v>628259549.41573513</v>
      </c>
      <c r="Z37" s="49">
        <f t="shared" si="47"/>
        <v>632309208.49238396</v>
      </c>
      <c r="AA37" s="49">
        <f t="shared" si="47"/>
        <v>636384971.01410162</v>
      </c>
      <c r="AB37" s="49">
        <f t="shared" si="47"/>
        <v>640487005.23945773</v>
      </c>
      <c r="AC37" s="49">
        <f t="shared" si="47"/>
        <v>644615480.51158965</v>
      </c>
      <c r="AD37" s="49">
        <f t="shared" si="47"/>
        <v>648770567.2651931</v>
      </c>
    </row>
    <row r="38" spans="1:30" x14ac:dyDescent="0.7">
      <c r="A38" s="93" t="s">
        <v>68</v>
      </c>
      <c r="B38" s="49">
        <f>B37</f>
        <v>540686114.86389279</v>
      </c>
      <c r="C38" s="49">
        <f t="shared" ref="C38:AD38" si="48">C37</f>
        <v>544447830.24405479</v>
      </c>
      <c r="D38" s="49">
        <f t="shared" si="48"/>
        <v>548209545.62421668</v>
      </c>
      <c r="E38" s="49">
        <f t="shared" si="48"/>
        <v>551971261.00437868</v>
      </c>
      <c r="F38" s="49">
        <f t="shared" si="48"/>
        <v>555732976.38454056</v>
      </c>
      <c r="G38" s="49">
        <f t="shared" si="48"/>
        <v>559494691.76470256</v>
      </c>
      <c r="H38" s="49">
        <f t="shared" si="48"/>
        <v>563256407.14486456</v>
      </c>
      <c r="I38" s="49">
        <f t="shared" si="48"/>
        <v>567018122.52502644</v>
      </c>
      <c r="J38" s="49">
        <f t="shared" si="48"/>
        <v>570779837.90518832</v>
      </c>
      <c r="K38" s="49">
        <f t="shared" si="48"/>
        <v>574541553.2853502</v>
      </c>
      <c r="L38" s="49">
        <f t="shared" si="48"/>
        <v>578303268.6655122</v>
      </c>
      <c r="M38" s="49">
        <f t="shared" si="48"/>
        <v>582064984.04567409</v>
      </c>
      <c r="N38" s="49">
        <f t="shared" si="48"/>
        <v>585826699.42583597</v>
      </c>
      <c r="O38" s="49">
        <f t="shared" si="48"/>
        <v>589588414.80599797</v>
      </c>
      <c r="P38" s="49">
        <f t="shared" si="48"/>
        <v>593350130.18615985</v>
      </c>
      <c r="Q38" s="49">
        <f t="shared" si="48"/>
        <v>597111845.56632173</v>
      </c>
      <c r="R38" s="49">
        <f t="shared" si="48"/>
        <v>600873560.94648373</v>
      </c>
      <c r="S38" s="49">
        <f t="shared" si="48"/>
        <v>604635276.32664561</v>
      </c>
      <c r="T38" s="49">
        <f t="shared" si="48"/>
        <v>608396991.70680749</v>
      </c>
      <c r="U38" s="49">
        <f t="shared" si="48"/>
        <v>612318619.96054852</v>
      </c>
      <c r="V38" s="49">
        <f t="shared" si="48"/>
        <v>616265526.39345574</v>
      </c>
      <c r="W38" s="49">
        <f t="shared" si="48"/>
        <v>620237873.94456887</v>
      </c>
      <c r="X38" s="49">
        <f t="shared" si="48"/>
        <v>624235826.6032064</v>
      </c>
      <c r="Y38" s="49">
        <f t="shared" si="48"/>
        <v>628259549.41573513</v>
      </c>
      <c r="Z38" s="49">
        <f t="shared" si="48"/>
        <v>632309208.49238396</v>
      </c>
      <c r="AA38" s="49">
        <f t="shared" si="48"/>
        <v>636384971.01410162</v>
      </c>
      <c r="AB38" s="49">
        <f t="shared" si="48"/>
        <v>640487005.23945773</v>
      </c>
      <c r="AC38" s="49">
        <f t="shared" si="48"/>
        <v>644615480.51158965</v>
      </c>
      <c r="AD38" s="49">
        <f t="shared" si="48"/>
        <v>648770567.2651931</v>
      </c>
    </row>
    <row r="39" spans="1:30" x14ac:dyDescent="0.7">
      <c r="A39" s="93" t="s">
        <v>448</v>
      </c>
      <c r="B39" s="49"/>
      <c r="C39" s="188">
        <f>(C38-B38)/B38</f>
        <v>6.9572997655191118E-3</v>
      </c>
      <c r="D39" s="188">
        <f t="shared" ref="D39:AD39" si="49">(D38-C38)/C38</f>
        <v>6.9092301800076066E-3</v>
      </c>
      <c r="E39" s="188">
        <f t="shared" si="49"/>
        <v>6.8618202842103708E-3</v>
      </c>
      <c r="F39" s="188">
        <f t="shared" si="49"/>
        <v>6.815056590658332E-3</v>
      </c>
      <c r="G39" s="188">
        <f t="shared" si="49"/>
        <v>6.76892597706686E-3</v>
      </c>
      <c r="H39" s="188">
        <f t="shared" si="49"/>
        <v>6.7234156740561234E-3</v>
      </c>
      <c r="I39" s="188">
        <f t="shared" si="49"/>
        <v>6.6785132533688186E-3</v>
      </c>
      <c r="J39" s="188">
        <f t="shared" si="49"/>
        <v>6.6342066165545723E-3</v>
      </c>
      <c r="K39" s="188">
        <f t="shared" si="49"/>
        <v>6.5904839841009529E-3</v>
      </c>
      <c r="L39" s="188">
        <f t="shared" si="49"/>
        <v>6.5473338849935496E-3</v>
      </c>
      <c r="M39" s="188">
        <f t="shared" si="49"/>
        <v>6.5047451466812289E-3</v>
      </c>
      <c r="N39" s="188">
        <f t="shared" si="49"/>
        <v>6.4627068854337805E-3</v>
      </c>
      <c r="O39" s="188">
        <f t="shared" si="49"/>
        <v>6.4212084970671829E-3</v>
      </c>
      <c r="P39" s="188">
        <f t="shared" si="49"/>
        <v>6.3802396480257522E-3</v>
      </c>
      <c r="Q39" s="188">
        <f t="shared" si="49"/>
        <v>6.3397902668053127E-3</v>
      </c>
      <c r="R39" s="188">
        <f t="shared" si="49"/>
        <v>6.2998505356969738E-3</v>
      </c>
      <c r="S39" s="188">
        <f t="shared" si="49"/>
        <v>6.2604108828428137E-3</v>
      </c>
      <c r="T39" s="188">
        <f t="shared" si="49"/>
        <v>6.2214619745898985E-3</v>
      </c>
      <c r="U39" s="188">
        <f t="shared" si="49"/>
        <v>6.4458376803264951E-3</v>
      </c>
      <c r="V39" s="188">
        <f t="shared" si="49"/>
        <v>6.4458376803264968E-3</v>
      </c>
      <c r="W39" s="188">
        <f t="shared" si="49"/>
        <v>6.4458376803264127E-3</v>
      </c>
      <c r="X39" s="188">
        <f t="shared" si="49"/>
        <v>6.4458376803265384E-3</v>
      </c>
      <c r="Y39" s="188">
        <f t="shared" si="49"/>
        <v>6.4458376803265358E-3</v>
      </c>
      <c r="Z39" s="188">
        <f t="shared" si="49"/>
        <v>6.4458376803263997E-3</v>
      </c>
      <c r="AA39" s="188">
        <f t="shared" si="49"/>
        <v>6.445837680326554E-3</v>
      </c>
      <c r="AB39" s="188">
        <f t="shared" si="49"/>
        <v>6.4458376803263719E-3</v>
      </c>
      <c r="AC39" s="188">
        <f t="shared" si="49"/>
        <v>6.445837680326417E-3</v>
      </c>
      <c r="AD39" s="188">
        <f t="shared" si="49"/>
        <v>6.445837680326626E-3</v>
      </c>
    </row>
    <row r="40" spans="1:30" ht="24" x14ac:dyDescent="0.85">
      <c r="A40" s="201" t="s">
        <v>333</v>
      </c>
      <c r="B40" s="202"/>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3"/>
    </row>
    <row r="41" spans="1:30" ht="25.35" customHeight="1" x14ac:dyDescent="0.7">
      <c r="A41" s="290"/>
      <c r="B41" s="291">
        <v>2022</v>
      </c>
      <c r="C41" s="291">
        <v>2023</v>
      </c>
      <c r="D41" s="291">
        <v>2024</v>
      </c>
      <c r="E41" s="291">
        <v>2025</v>
      </c>
      <c r="F41" s="291">
        <v>2026</v>
      </c>
      <c r="G41" s="291">
        <v>2027</v>
      </c>
      <c r="H41" s="291">
        <v>2028</v>
      </c>
      <c r="I41" s="291">
        <v>2029</v>
      </c>
      <c r="J41" s="291">
        <v>2030</v>
      </c>
      <c r="K41" s="291">
        <v>2031</v>
      </c>
      <c r="L41" s="291">
        <v>2032</v>
      </c>
      <c r="M41" s="291">
        <v>2033</v>
      </c>
      <c r="N41" s="291">
        <v>2034</v>
      </c>
      <c r="O41" s="291">
        <v>2035</v>
      </c>
      <c r="P41" s="291">
        <v>2036</v>
      </c>
      <c r="Q41" s="291">
        <v>2037</v>
      </c>
      <c r="R41" s="291">
        <v>2038</v>
      </c>
      <c r="S41" s="291">
        <v>2039</v>
      </c>
      <c r="T41" s="24">
        <v>2040</v>
      </c>
      <c r="U41" s="24">
        <v>2041</v>
      </c>
      <c r="V41" s="24">
        <v>2042</v>
      </c>
      <c r="W41" s="24">
        <v>2043</v>
      </c>
      <c r="X41" s="24">
        <v>2044</v>
      </c>
      <c r="Y41" s="24">
        <v>2045</v>
      </c>
      <c r="Z41" s="24">
        <v>2046</v>
      </c>
      <c r="AA41" s="24">
        <v>2047</v>
      </c>
      <c r="AB41" s="24">
        <v>2048</v>
      </c>
      <c r="AC41" s="24">
        <v>2049</v>
      </c>
      <c r="AD41" s="24">
        <v>2050</v>
      </c>
    </row>
    <row r="42" spans="1:30" ht="38.4" customHeight="1" x14ac:dyDescent="0.7">
      <c r="A42" s="542" t="s">
        <v>329</v>
      </c>
      <c r="B42" s="543"/>
      <c r="C42" s="544"/>
      <c r="D42" s="369">
        <v>5.7146004582366079E-2</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row>
    <row r="43" spans="1:30" x14ac:dyDescent="0.7">
      <c r="A43" s="93" t="s">
        <v>169</v>
      </c>
      <c r="B43" s="49">
        <f t="shared" ref="B43:AD43" si="50">B33*(1-$D$42)</f>
        <v>661105159.95288181</v>
      </c>
      <c r="C43" s="49">
        <f t="shared" si="50"/>
        <v>665704666.7272054</v>
      </c>
      <c r="D43" s="49">
        <f t="shared" si="50"/>
        <v>670304173.50152886</v>
      </c>
      <c r="E43" s="49">
        <f t="shared" si="50"/>
        <v>674903680.27585256</v>
      </c>
      <c r="F43" s="49">
        <f t="shared" si="50"/>
        <v>679503187.05017614</v>
      </c>
      <c r="G43" s="49">
        <f t="shared" si="50"/>
        <v>684102693.82449973</v>
      </c>
      <c r="H43" s="49">
        <f t="shared" si="50"/>
        <v>688702200.59882343</v>
      </c>
      <c r="I43" s="49">
        <f t="shared" si="50"/>
        <v>693301707.37314701</v>
      </c>
      <c r="J43" s="49">
        <f t="shared" si="50"/>
        <v>697901214.14747047</v>
      </c>
      <c r="K43" s="49">
        <f t="shared" si="50"/>
        <v>702500720.92179406</v>
      </c>
      <c r="L43" s="49">
        <f t="shared" si="50"/>
        <v>707100227.69611764</v>
      </c>
      <c r="M43" s="49">
        <f t="shared" si="50"/>
        <v>711699734.4704411</v>
      </c>
      <c r="N43" s="49">
        <f t="shared" si="50"/>
        <v>716299241.24476469</v>
      </c>
      <c r="O43" s="49">
        <f t="shared" si="50"/>
        <v>720898748.01908839</v>
      </c>
      <c r="P43" s="49">
        <f t="shared" si="50"/>
        <v>725498254.79341185</v>
      </c>
      <c r="Q43" s="49">
        <f t="shared" si="50"/>
        <v>730097761.56773543</v>
      </c>
      <c r="R43" s="49">
        <f t="shared" si="50"/>
        <v>734697268.34205902</v>
      </c>
      <c r="S43" s="49">
        <f t="shared" si="50"/>
        <v>739296775.11638248</v>
      </c>
      <c r="T43" s="49">
        <f t="shared" si="50"/>
        <v>743896281.89070606</v>
      </c>
      <c r="U43" s="49">
        <f t="shared" si="50"/>
        <v>748691316.574772</v>
      </c>
      <c r="V43" s="49">
        <f t="shared" si="50"/>
        <v>753517259.2740829</v>
      </c>
      <c r="W43" s="49">
        <f t="shared" si="50"/>
        <v>758374309.21668804</v>
      </c>
      <c r="X43" s="49">
        <f t="shared" si="50"/>
        <v>763262666.91482854</v>
      </c>
      <c r="Y43" s="49">
        <f t="shared" si="50"/>
        <v>768182534.17321467</v>
      </c>
      <c r="Z43" s="49">
        <f t="shared" si="50"/>
        <v>773134114.09735703</v>
      </c>
      <c r="AA43" s="49">
        <f t="shared" si="50"/>
        <v>778117611.1019516</v>
      </c>
      <c r="AB43" s="49">
        <f t="shared" si="50"/>
        <v>783133230.9193182</v>
      </c>
      <c r="AC43" s="49">
        <f t="shared" si="50"/>
        <v>788181180.60789371</v>
      </c>
      <c r="AD43" s="49">
        <f t="shared" si="50"/>
        <v>793261668.56078029</v>
      </c>
    </row>
    <row r="44" spans="1:30" x14ac:dyDescent="0.7">
      <c r="A44" s="93" t="s">
        <v>170</v>
      </c>
      <c r="B44" s="49">
        <f t="shared" ref="B44:AD44" si="51">B34*(1-$D$42)</f>
        <v>61147428.734517291</v>
      </c>
      <c r="C44" s="49">
        <f t="shared" si="51"/>
        <v>61630701.393261433</v>
      </c>
      <c r="D44" s="49">
        <f t="shared" si="51"/>
        <v>62113974.052005552</v>
      </c>
      <c r="E44" s="49">
        <f t="shared" si="51"/>
        <v>62597246.710749693</v>
      </c>
      <c r="F44" s="49">
        <f t="shared" si="51"/>
        <v>63080519.369493827</v>
      </c>
      <c r="G44" s="49">
        <f t="shared" si="51"/>
        <v>63563792.028237954</v>
      </c>
      <c r="H44" s="49">
        <f t="shared" si="51"/>
        <v>64047064.686982095</v>
      </c>
      <c r="I44" s="49">
        <f t="shared" si="51"/>
        <v>64530337.345726229</v>
      </c>
      <c r="J44" s="49">
        <f t="shared" si="51"/>
        <v>65013610.004470348</v>
      </c>
      <c r="K44" s="49">
        <f t="shared" si="51"/>
        <v>65496882.663214482</v>
      </c>
      <c r="L44" s="49">
        <f t="shared" si="51"/>
        <v>65980155.321958609</v>
      </c>
      <c r="M44" s="49">
        <f t="shared" si="51"/>
        <v>66463427.980702743</v>
      </c>
      <c r="N44" s="49">
        <f t="shared" si="51"/>
        <v>66946700.639446877</v>
      </c>
      <c r="O44" s="49">
        <f t="shared" si="51"/>
        <v>67429973.298191026</v>
      </c>
      <c r="P44" s="49">
        <f t="shared" si="51"/>
        <v>67913245.956935138</v>
      </c>
      <c r="Q44" s="49">
        <f t="shared" si="51"/>
        <v>68396518.615679279</v>
      </c>
      <c r="R44" s="49">
        <f t="shared" si="51"/>
        <v>68879791.27442342</v>
      </c>
      <c r="S44" s="49">
        <f t="shared" si="51"/>
        <v>69363063.933167547</v>
      </c>
      <c r="T44" s="49">
        <f t="shared" si="51"/>
        <v>69846336.591911674</v>
      </c>
      <c r="U44" s="49">
        <f t="shared" si="51"/>
        <v>70355523.500752881</v>
      </c>
      <c r="V44" s="49">
        <f t="shared" si="51"/>
        <v>70868422.434029236</v>
      </c>
      <c r="W44" s="49">
        <f t="shared" si="51"/>
        <v>71385060.452777013</v>
      </c>
      <c r="X44" s="49">
        <f t="shared" si="51"/>
        <v>71905464.81531018</v>
      </c>
      <c r="Y44" s="49">
        <f t="shared" si="51"/>
        <v>72429662.978658631</v>
      </c>
      <c r="Z44" s="49">
        <f t="shared" si="51"/>
        <v>72957682.600016743</v>
      </c>
      <c r="AA44" s="49">
        <f t="shared" si="51"/>
        <v>73489551.538202703</v>
      </c>
      <c r="AB44" s="49">
        <f t="shared" si="51"/>
        <v>74025297.855128318</v>
      </c>
      <c r="AC44" s="49">
        <f t="shared" si="51"/>
        <v>74564949.817279577</v>
      </c>
      <c r="AD44" s="49">
        <f t="shared" si="51"/>
        <v>75108535.89720802</v>
      </c>
    </row>
    <row r="45" spans="1:30" x14ac:dyDescent="0.7">
      <c r="A45" s="93" t="s">
        <v>171</v>
      </c>
      <c r="B45" s="49">
        <f t="shared" ref="B45:AD45" si="52">B35*(1-$D$42)</f>
        <v>4121507.0987090576</v>
      </c>
      <c r="C45" s="49">
        <f t="shared" si="52"/>
        <v>4151743.0314910053</v>
      </c>
      <c r="D45" s="49">
        <f t="shared" si="52"/>
        <v>4181978.9642729522</v>
      </c>
      <c r="E45" s="49">
        <f t="shared" si="52"/>
        <v>4212214.8970548986</v>
      </c>
      <c r="F45" s="49">
        <f t="shared" si="52"/>
        <v>4242450.8298368463</v>
      </c>
      <c r="G45" s="49">
        <f t="shared" si="52"/>
        <v>4272686.7626187941</v>
      </c>
      <c r="H45" s="49">
        <f t="shared" si="52"/>
        <v>4302922.6954007419</v>
      </c>
      <c r="I45" s="49">
        <f t="shared" si="52"/>
        <v>4333158.6281826897</v>
      </c>
      <c r="J45" s="49">
        <f t="shared" si="52"/>
        <v>4363394.5609646365</v>
      </c>
      <c r="K45" s="49">
        <f t="shared" si="52"/>
        <v>4393630.4937465843</v>
      </c>
      <c r="L45" s="49">
        <f t="shared" si="52"/>
        <v>4423866.4265285311</v>
      </c>
      <c r="M45" s="49">
        <f t="shared" si="52"/>
        <v>4454102.359310478</v>
      </c>
      <c r="N45" s="49">
        <f t="shared" si="52"/>
        <v>4484338.2920924257</v>
      </c>
      <c r="O45" s="49">
        <f t="shared" si="52"/>
        <v>4514574.2248743726</v>
      </c>
      <c r="P45" s="49">
        <f t="shared" si="52"/>
        <v>4544810.1576563194</v>
      </c>
      <c r="Q45" s="49">
        <f t="shared" si="52"/>
        <v>4575046.0904382672</v>
      </c>
      <c r="R45" s="49">
        <f t="shared" si="52"/>
        <v>4605282.023220215</v>
      </c>
      <c r="S45" s="49">
        <f t="shared" si="52"/>
        <v>4635517.9560021609</v>
      </c>
      <c r="T45" s="49">
        <f t="shared" si="52"/>
        <v>4665753.8887841087</v>
      </c>
      <c r="U45" s="49">
        <f t="shared" si="52"/>
        <v>4697409.7780319732</v>
      </c>
      <c r="V45" s="49">
        <f t="shared" si="52"/>
        <v>4729280.4440014483</v>
      </c>
      <c r="W45" s="49">
        <f t="shared" si="52"/>
        <v>4761367.3438950079</v>
      </c>
      <c r="X45" s="49">
        <f t="shared" si="52"/>
        <v>4793671.944801854</v>
      </c>
      <c r="Y45" s="49">
        <f t="shared" si="52"/>
        <v>4826195.7237649988</v>
      </c>
      <c r="Z45" s="49">
        <f t="shared" si="52"/>
        <v>4858940.1678487901</v>
      </c>
      <c r="AA45" s="49">
        <f t="shared" si="52"/>
        <v>4891906.7742069112</v>
      </c>
      <c r="AB45" s="49">
        <f t="shared" si="52"/>
        <v>4925097.050150834</v>
      </c>
      <c r="AC45" s="49">
        <f t="shared" si="52"/>
        <v>4958512.5132187307</v>
      </c>
      <c r="AD45" s="49">
        <f t="shared" si="52"/>
        <v>4992154.6912448648</v>
      </c>
    </row>
    <row r="46" spans="1:30" x14ac:dyDescent="0.7">
      <c r="A46" s="93" t="s">
        <v>172</v>
      </c>
      <c r="B46" s="49">
        <f t="shared" ref="B46:AD46" si="53">B36*(1-$D$42)</f>
        <v>35431180.294900872</v>
      </c>
      <c r="C46" s="49">
        <f t="shared" si="53"/>
        <v>35701898.296364374</v>
      </c>
      <c r="D46" s="49">
        <f t="shared" si="53"/>
        <v>35972616.297827885</v>
      </c>
      <c r="E46" s="49">
        <f t="shared" si="53"/>
        <v>36243334.299291387</v>
      </c>
      <c r="F46" s="49">
        <f t="shared" si="53"/>
        <v>36514052.300754897</v>
      </c>
      <c r="G46" s="49">
        <f t="shared" si="53"/>
        <v>36784770.302218407</v>
      </c>
      <c r="H46" s="49">
        <f t="shared" si="53"/>
        <v>37055488.30368191</v>
      </c>
      <c r="I46" s="49">
        <f t="shared" si="53"/>
        <v>37326206.30514542</v>
      </c>
      <c r="J46" s="49">
        <f t="shared" si="53"/>
        <v>37596924.30660893</v>
      </c>
      <c r="K46" s="49">
        <f t="shared" si="53"/>
        <v>37867642.30807244</v>
      </c>
      <c r="L46" s="49">
        <f t="shared" si="53"/>
        <v>38138360.30953595</v>
      </c>
      <c r="M46" s="49">
        <f t="shared" si="53"/>
        <v>38409078.310999461</v>
      </c>
      <c r="N46" s="49">
        <f t="shared" si="53"/>
        <v>38679796.312462971</v>
      </c>
      <c r="O46" s="49">
        <f t="shared" si="53"/>
        <v>38950514.313926473</v>
      </c>
      <c r="P46" s="49">
        <f t="shared" si="53"/>
        <v>39221232.315389976</v>
      </c>
      <c r="Q46" s="49">
        <f t="shared" si="53"/>
        <v>39491950.316853479</v>
      </c>
      <c r="R46" s="49">
        <f t="shared" si="53"/>
        <v>39762668.318316981</v>
      </c>
      <c r="S46" s="49">
        <f t="shared" si="53"/>
        <v>40033386.319780491</v>
      </c>
      <c r="T46" s="49">
        <f t="shared" si="53"/>
        <v>40304104.321243994</v>
      </c>
      <c r="U46" s="49">
        <f t="shared" si="53"/>
        <v>40588504.094418801</v>
      </c>
      <c r="V46" s="49">
        <f t="shared" si="53"/>
        <v>40874910.691274315</v>
      </c>
      <c r="W46" s="49">
        <f t="shared" si="53"/>
        <v>41163338.272656187</v>
      </c>
      <c r="X46" s="49">
        <f t="shared" si="53"/>
        <v>41453801.099333882</v>
      </c>
      <c r="Y46" s="49">
        <f t="shared" si="53"/>
        <v>41746313.532705836</v>
      </c>
      <c r="Z46" s="49">
        <f t="shared" si="53"/>
        <v>42040890.035509489</v>
      </c>
      <c r="AA46" s="49">
        <f t="shared" si="53"/>
        <v>42337545.17253641</v>
      </c>
      <c r="AB46" s="49">
        <f t="shared" si="53"/>
        <v>42636293.611352369</v>
      </c>
      <c r="AC46" s="49">
        <f t="shared" si="53"/>
        <v>42937150.123022608</v>
      </c>
      <c r="AD46" s="49">
        <f t="shared" si="53"/>
        <v>43240129.582842134</v>
      </c>
    </row>
    <row r="47" spans="1:30" x14ac:dyDescent="0.7">
      <c r="A47" s="93" t="s">
        <v>702</v>
      </c>
      <c r="B47" s="49">
        <f>B37*(1-$D$42)</f>
        <v>509788063.66625905</v>
      </c>
      <c r="C47" s="49">
        <f t="shared" ref="C47:AD47" si="54">C37*(1-$D$42)</f>
        <v>513334812.04206878</v>
      </c>
      <c r="D47" s="49">
        <f t="shared" si="54"/>
        <v>516881560.41787839</v>
      </c>
      <c r="E47" s="49">
        <f t="shared" si="54"/>
        <v>520428308.79368806</v>
      </c>
      <c r="F47" s="49">
        <f t="shared" si="54"/>
        <v>523975057.16949767</v>
      </c>
      <c r="G47" s="49">
        <f t="shared" si="54"/>
        <v>527521805.5453074</v>
      </c>
      <c r="H47" s="49">
        <f t="shared" si="54"/>
        <v>531068553.92111707</v>
      </c>
      <c r="I47" s="49">
        <f t="shared" si="54"/>
        <v>534615302.29692668</v>
      </c>
      <c r="J47" s="49">
        <f t="shared" si="54"/>
        <v>538162050.67273629</v>
      </c>
      <c r="K47" s="49">
        <f t="shared" si="54"/>
        <v>541708799.04854584</v>
      </c>
      <c r="L47" s="49">
        <f t="shared" si="54"/>
        <v>545255547.42435551</v>
      </c>
      <c r="M47" s="49">
        <f t="shared" si="54"/>
        <v>548802295.80016518</v>
      </c>
      <c r="N47" s="49">
        <f t="shared" si="54"/>
        <v>552349044.17597473</v>
      </c>
      <c r="O47" s="49">
        <f t="shared" si="54"/>
        <v>555895792.55178452</v>
      </c>
      <c r="P47" s="49">
        <f t="shared" si="54"/>
        <v>559442540.92759407</v>
      </c>
      <c r="Q47" s="49">
        <f t="shared" si="54"/>
        <v>562989289.30340362</v>
      </c>
      <c r="R47" s="49">
        <f t="shared" si="54"/>
        <v>566536037.6792134</v>
      </c>
      <c r="S47" s="49">
        <f t="shared" si="54"/>
        <v>570082786.05502295</v>
      </c>
      <c r="T47" s="49">
        <f t="shared" si="54"/>
        <v>573629534.43083251</v>
      </c>
      <c r="U47" s="49">
        <f t="shared" si="54"/>
        <v>577327057.29841495</v>
      </c>
      <c r="V47" s="49">
        <f t="shared" si="54"/>
        <v>581048413.79822111</v>
      </c>
      <c r="W47" s="49">
        <f t="shared" si="54"/>
        <v>584793757.55797553</v>
      </c>
      <c r="X47" s="49">
        <f t="shared" si="54"/>
        <v>588563243.1956625</v>
      </c>
      <c r="Y47" s="49">
        <f t="shared" si="54"/>
        <v>592357026.3259083</v>
      </c>
      <c r="Z47" s="49">
        <f t="shared" si="54"/>
        <v>596175263.56640589</v>
      </c>
      <c r="AA47" s="49">
        <f t="shared" si="54"/>
        <v>600018112.5443809</v>
      </c>
      <c r="AB47" s="49">
        <f t="shared" si="54"/>
        <v>603885731.90309775</v>
      </c>
      <c r="AC47" s="49">
        <f t="shared" si="54"/>
        <v>607778281.30841029</v>
      </c>
      <c r="AD47" s="49">
        <f t="shared" si="54"/>
        <v>611695921.45535219</v>
      </c>
    </row>
    <row r="48" spans="1:30" x14ac:dyDescent="0.7">
      <c r="A48" s="93" t="s">
        <v>68</v>
      </c>
      <c r="B48" s="49">
        <f>B47</f>
        <v>509788063.66625905</v>
      </c>
      <c r="C48" s="49">
        <f t="shared" ref="C48:AD48" si="55">C47</f>
        <v>513334812.04206878</v>
      </c>
      <c r="D48" s="49">
        <f t="shared" si="55"/>
        <v>516881560.41787839</v>
      </c>
      <c r="E48" s="49">
        <f t="shared" si="55"/>
        <v>520428308.79368806</v>
      </c>
      <c r="F48" s="49">
        <f t="shared" si="55"/>
        <v>523975057.16949767</v>
      </c>
      <c r="G48" s="49">
        <f t="shared" si="55"/>
        <v>527521805.5453074</v>
      </c>
      <c r="H48" s="49">
        <f t="shared" si="55"/>
        <v>531068553.92111707</v>
      </c>
      <c r="I48" s="49">
        <f t="shared" si="55"/>
        <v>534615302.29692668</v>
      </c>
      <c r="J48" s="49">
        <f t="shared" si="55"/>
        <v>538162050.67273629</v>
      </c>
      <c r="K48" s="49">
        <f t="shared" si="55"/>
        <v>541708799.04854584</v>
      </c>
      <c r="L48" s="49">
        <f t="shared" si="55"/>
        <v>545255547.42435551</v>
      </c>
      <c r="M48" s="49">
        <f t="shared" si="55"/>
        <v>548802295.80016518</v>
      </c>
      <c r="N48" s="49">
        <f t="shared" si="55"/>
        <v>552349044.17597473</v>
      </c>
      <c r="O48" s="49">
        <f t="shared" si="55"/>
        <v>555895792.55178452</v>
      </c>
      <c r="P48" s="49">
        <f t="shared" si="55"/>
        <v>559442540.92759407</v>
      </c>
      <c r="Q48" s="49">
        <f t="shared" si="55"/>
        <v>562989289.30340362</v>
      </c>
      <c r="R48" s="49">
        <f t="shared" si="55"/>
        <v>566536037.6792134</v>
      </c>
      <c r="S48" s="49">
        <f t="shared" si="55"/>
        <v>570082786.05502295</v>
      </c>
      <c r="T48" s="49">
        <f t="shared" si="55"/>
        <v>573629534.43083251</v>
      </c>
      <c r="U48" s="49">
        <f t="shared" si="55"/>
        <v>577327057.29841495</v>
      </c>
      <c r="V48" s="49">
        <f t="shared" si="55"/>
        <v>581048413.79822111</v>
      </c>
      <c r="W48" s="49">
        <f t="shared" si="55"/>
        <v>584793757.55797553</v>
      </c>
      <c r="X48" s="49">
        <f t="shared" si="55"/>
        <v>588563243.1956625</v>
      </c>
      <c r="Y48" s="49">
        <f t="shared" si="55"/>
        <v>592357026.3259083</v>
      </c>
      <c r="Z48" s="49">
        <f t="shared" si="55"/>
        <v>596175263.56640589</v>
      </c>
      <c r="AA48" s="49">
        <f t="shared" si="55"/>
        <v>600018112.5443809</v>
      </c>
      <c r="AB48" s="49">
        <f t="shared" si="55"/>
        <v>603885731.90309775</v>
      </c>
      <c r="AC48" s="49">
        <f t="shared" si="55"/>
        <v>607778281.30841029</v>
      </c>
      <c r="AD48" s="49">
        <f t="shared" si="55"/>
        <v>611695921.45535219</v>
      </c>
    </row>
    <row r="49" spans="1:36" ht="24" x14ac:dyDescent="0.85">
      <c r="A49" s="201" t="s">
        <v>391</v>
      </c>
      <c r="B49" s="202"/>
      <c r="C49" s="202"/>
      <c r="D49" s="202"/>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3"/>
    </row>
    <row r="50" spans="1:36" ht="25.35" customHeight="1" x14ac:dyDescent="0.7">
      <c r="A50" s="290"/>
      <c r="B50" s="291">
        <v>2022</v>
      </c>
      <c r="C50" s="291">
        <v>2023</v>
      </c>
      <c r="D50" s="291">
        <v>2024</v>
      </c>
      <c r="E50" s="291">
        <v>2025</v>
      </c>
      <c r="F50" s="291">
        <v>2026</v>
      </c>
      <c r="G50" s="291">
        <v>2027</v>
      </c>
      <c r="H50" s="291">
        <v>2028</v>
      </c>
      <c r="I50" s="291">
        <v>2029</v>
      </c>
      <c r="J50" s="291">
        <v>2030</v>
      </c>
      <c r="K50" s="291">
        <v>2031</v>
      </c>
      <c r="L50" s="291">
        <v>2032</v>
      </c>
      <c r="M50" s="291">
        <v>2033</v>
      </c>
      <c r="N50" s="291">
        <v>2034</v>
      </c>
      <c r="O50" s="291">
        <v>2035</v>
      </c>
      <c r="P50" s="291">
        <v>2036</v>
      </c>
      <c r="Q50" s="291">
        <v>2037</v>
      </c>
      <c r="R50" s="291">
        <v>2038</v>
      </c>
      <c r="S50" s="291">
        <v>2039</v>
      </c>
      <c r="T50" s="24">
        <v>2040</v>
      </c>
      <c r="U50" s="24">
        <v>2041</v>
      </c>
      <c r="V50" s="24">
        <v>2042</v>
      </c>
      <c r="W50" s="24">
        <v>2043</v>
      </c>
      <c r="X50" s="24">
        <v>2044</v>
      </c>
      <c r="Y50" s="24">
        <v>2045</v>
      </c>
      <c r="Z50" s="24">
        <v>2046</v>
      </c>
      <c r="AA50" s="24">
        <v>2047</v>
      </c>
      <c r="AB50" s="24">
        <v>2048</v>
      </c>
      <c r="AC50" s="24">
        <v>2049</v>
      </c>
      <c r="AD50" s="24">
        <v>2050</v>
      </c>
    </row>
    <row r="51" spans="1:36" x14ac:dyDescent="0.7">
      <c r="A51" s="93" t="s">
        <v>169</v>
      </c>
      <c r="B51" s="46">
        <f>B33-189300270</f>
        <v>511874210</v>
      </c>
      <c r="C51" s="49">
        <f t="shared" ref="C51:AD51" si="56">B51*(1+((I18-H18)/H18))</f>
        <v>515435472.32120818</v>
      </c>
      <c r="D51" s="49">
        <f t="shared" si="56"/>
        <v>518996734.6424163</v>
      </c>
      <c r="E51" s="49">
        <f t="shared" si="56"/>
        <v>522557996.96362454</v>
      </c>
      <c r="F51" s="49">
        <f t="shared" si="56"/>
        <v>526119259.28483272</v>
      </c>
      <c r="G51" s="49">
        <f t="shared" si="56"/>
        <v>529680521.60604089</v>
      </c>
      <c r="H51" s="49">
        <f t="shared" si="56"/>
        <v>533241783.92724913</v>
      </c>
      <c r="I51" s="49">
        <f t="shared" si="56"/>
        <v>536803046.24845731</v>
      </c>
      <c r="J51" s="49">
        <f t="shared" si="56"/>
        <v>540364308.56966543</v>
      </c>
      <c r="K51" s="49">
        <f t="shared" si="56"/>
        <v>543925570.89087367</v>
      </c>
      <c r="L51" s="49">
        <f t="shared" si="56"/>
        <v>547486833.21208191</v>
      </c>
      <c r="M51" s="49">
        <f t="shared" si="56"/>
        <v>551048095.53329003</v>
      </c>
      <c r="N51" s="49">
        <f t="shared" si="56"/>
        <v>554609357.85449827</v>
      </c>
      <c r="O51" s="49">
        <f t="shared" si="56"/>
        <v>558170620.17570651</v>
      </c>
      <c r="P51" s="49">
        <f t="shared" si="56"/>
        <v>561731882.49691463</v>
      </c>
      <c r="Q51" s="49">
        <f t="shared" si="56"/>
        <v>565293144.81812286</v>
      </c>
      <c r="R51" s="49">
        <f t="shared" si="56"/>
        <v>568854407.1393311</v>
      </c>
      <c r="S51" s="49">
        <f t="shared" si="56"/>
        <v>572415669.46053922</v>
      </c>
      <c r="T51" s="49">
        <f t="shared" si="56"/>
        <v>575976931.78174746</v>
      </c>
      <c r="U51" s="49">
        <f t="shared" si="56"/>
        <v>579689585.59162509</v>
      </c>
      <c r="V51" s="49">
        <f t="shared" si="56"/>
        <v>583426170.56532443</v>
      </c>
      <c r="W51" s="49">
        <f t="shared" si="56"/>
        <v>587186840.95924294</v>
      </c>
      <c r="X51" s="49">
        <f t="shared" si="56"/>
        <v>590971752.02408993</v>
      </c>
      <c r="Y51" s="49">
        <f t="shared" si="56"/>
        <v>594781060.01129532</v>
      </c>
      <c r="Z51" s="49">
        <f t="shared" si="56"/>
        <v>598614922.17946064</v>
      </c>
      <c r="AA51" s="49">
        <f t="shared" si="56"/>
        <v>602473496.80085075</v>
      </c>
      <c r="AB51" s="49">
        <f t="shared" si="56"/>
        <v>606356943.16792774</v>
      </c>
      <c r="AC51" s="49">
        <f t="shared" si="56"/>
        <v>610265421.59992719</v>
      </c>
      <c r="AD51" s="49">
        <f t="shared" si="56"/>
        <v>614199093.44947636</v>
      </c>
    </row>
    <row r="52" spans="1:36" x14ac:dyDescent="0.7">
      <c r="A52" s="93" t="s">
        <v>170</v>
      </c>
      <c r="B52" s="46">
        <f>B34-7199310</f>
        <v>57654240</v>
      </c>
      <c r="C52" s="49">
        <f t="shared" ref="C52:L54" si="57">B52*(1+((I20-H20)/H20))</f>
        <v>58109904.586873204</v>
      </c>
      <c r="D52" s="49">
        <f t="shared" si="57"/>
        <v>58565569.173746392</v>
      </c>
      <c r="E52" s="49">
        <f t="shared" si="57"/>
        <v>59021233.760619603</v>
      </c>
      <c r="F52" s="49">
        <f t="shared" si="57"/>
        <v>59476898.347492807</v>
      </c>
      <c r="G52" s="49">
        <f t="shared" si="57"/>
        <v>59932562.934366003</v>
      </c>
      <c r="H52" s="49">
        <f t="shared" si="57"/>
        <v>60388227.521239214</v>
      </c>
      <c r="I52" s="49">
        <f t="shared" si="57"/>
        <v>60843892.108112417</v>
      </c>
      <c r="J52" s="49">
        <f t="shared" si="57"/>
        <v>61299556.694985606</v>
      </c>
      <c r="K52" s="49">
        <f t="shared" si="57"/>
        <v>61755221.281858809</v>
      </c>
      <c r="L52" s="49">
        <f t="shared" si="57"/>
        <v>62210885.868732013</v>
      </c>
      <c r="M52" s="49">
        <f t="shared" ref="M52:V54" si="58">L52*(1+((S20-R20)/R20))</f>
        <v>62666550.455605209</v>
      </c>
      <c r="N52" s="49">
        <f t="shared" si="58"/>
        <v>63122215.042478412</v>
      </c>
      <c r="O52" s="49">
        <f t="shared" si="58"/>
        <v>63577879.629351623</v>
      </c>
      <c r="P52" s="49">
        <f t="shared" si="58"/>
        <v>64033544.216224812</v>
      </c>
      <c r="Q52" s="49">
        <f t="shared" si="58"/>
        <v>64489208.803098023</v>
      </c>
      <c r="R52" s="49">
        <f t="shared" si="58"/>
        <v>64944873.389971226</v>
      </c>
      <c r="S52" s="49">
        <f t="shared" si="58"/>
        <v>65400537.976844423</v>
      </c>
      <c r="T52" s="49">
        <f t="shared" si="58"/>
        <v>65856202.563717626</v>
      </c>
      <c r="U52" s="49">
        <f t="shared" si="58"/>
        <v>66336300.989027485</v>
      </c>
      <c r="V52" s="49">
        <f t="shared" si="58"/>
        <v>66819899.38076438</v>
      </c>
      <c r="W52" s="49">
        <f t="shared" ref="W52:AF54" si="59">V52*(1+((AC20-AB20)/AB20))</f>
        <v>67307023.254040092</v>
      </c>
      <c r="X52" s="49">
        <f t="shared" si="59"/>
        <v>67797698.309974179</v>
      </c>
      <c r="Y52" s="49">
        <f t="shared" si="59"/>
        <v>68291950.43704997</v>
      </c>
      <c r="Z52" s="49">
        <f t="shared" si="59"/>
        <v>68789805.712480471</v>
      </c>
      <c r="AA52" s="49">
        <f t="shared" si="59"/>
        <v>69291290.403584242</v>
      </c>
      <c r="AB52" s="49">
        <f t="shared" si="59"/>
        <v>69796430.969171256</v>
      </c>
      <c r="AC52" s="49">
        <f t="shared" si="59"/>
        <v>70305254.06093891</v>
      </c>
      <c r="AD52" s="49">
        <f t="shared" si="59"/>
        <v>70817786.524878189</v>
      </c>
    </row>
    <row r="53" spans="1:36" x14ac:dyDescent="0.7">
      <c r="A53" s="93" t="s">
        <v>171</v>
      </c>
      <c r="B53" s="46">
        <f>B35-164380</f>
        <v>4206930</v>
      </c>
      <c r="C53" s="49">
        <f t="shared" si="57"/>
        <v>4237792.6067241766</v>
      </c>
      <c r="D53" s="49">
        <f t="shared" si="57"/>
        <v>4268655.2134483522</v>
      </c>
      <c r="E53" s="49">
        <f t="shared" si="57"/>
        <v>4299517.8201725287</v>
      </c>
      <c r="F53" s="49">
        <f t="shared" si="57"/>
        <v>4330380.4268967053</v>
      </c>
      <c r="G53" s="49">
        <f t="shared" si="57"/>
        <v>4361243.0336208809</v>
      </c>
      <c r="H53" s="49">
        <f t="shared" si="57"/>
        <v>4392105.6403450575</v>
      </c>
      <c r="I53" s="49">
        <f t="shared" si="57"/>
        <v>4422968.247069234</v>
      </c>
      <c r="J53" s="49">
        <f t="shared" si="57"/>
        <v>4453830.8537934097</v>
      </c>
      <c r="K53" s="49">
        <f t="shared" si="57"/>
        <v>4484693.4605175862</v>
      </c>
      <c r="L53" s="49">
        <f t="shared" si="57"/>
        <v>4515556.0672417618</v>
      </c>
      <c r="M53" s="49">
        <f t="shared" si="58"/>
        <v>4546418.6739659375</v>
      </c>
      <c r="N53" s="49">
        <f t="shared" si="58"/>
        <v>4577281.280690114</v>
      </c>
      <c r="O53" s="49">
        <f t="shared" si="58"/>
        <v>4608143.8874142896</v>
      </c>
      <c r="P53" s="49">
        <f t="shared" si="58"/>
        <v>4639006.4941384653</v>
      </c>
      <c r="Q53" s="49">
        <f t="shared" si="58"/>
        <v>4669869.1008626418</v>
      </c>
      <c r="R53" s="49">
        <f t="shared" si="58"/>
        <v>4700731.7075868184</v>
      </c>
      <c r="S53" s="49">
        <f t="shared" si="58"/>
        <v>4731594.3143109931</v>
      </c>
      <c r="T53" s="49">
        <f t="shared" si="58"/>
        <v>4762456.9210351696</v>
      </c>
      <c r="U53" s="49">
        <f t="shared" si="58"/>
        <v>4794768.9144307971</v>
      </c>
      <c r="V53" s="49">
        <f t="shared" si="58"/>
        <v>4827300.1360387756</v>
      </c>
      <c r="W53" s="49">
        <f t="shared" si="59"/>
        <v>4860052.0732637513</v>
      </c>
      <c r="X53" s="49">
        <f t="shared" si="59"/>
        <v>4893026.2236020118</v>
      </c>
      <c r="Y53" s="49">
        <f t="shared" si="59"/>
        <v>4926224.0947099552</v>
      </c>
      <c r="Z53" s="49">
        <f t="shared" si="59"/>
        <v>4959647.2044730242</v>
      </c>
      <c r="AA53" s="49">
        <f t="shared" si="59"/>
        <v>4993297.0810751086</v>
      </c>
      <c r="AB53" s="49">
        <f t="shared" si="59"/>
        <v>5027175.2630684134</v>
      </c>
      <c r="AC53" s="49">
        <f t="shared" si="59"/>
        <v>5061283.2994438102</v>
      </c>
      <c r="AD53" s="49">
        <f t="shared" si="59"/>
        <v>5095622.7497016573</v>
      </c>
    </row>
    <row r="54" spans="1:36" x14ac:dyDescent="0.7">
      <c r="A54" s="93" t="s">
        <v>172</v>
      </c>
      <c r="B54" s="46">
        <f>B36-2533860</f>
        <v>35044790</v>
      </c>
      <c r="C54" s="49">
        <f t="shared" si="57"/>
        <v>35312555.72023692</v>
      </c>
      <c r="D54" s="49">
        <f t="shared" si="57"/>
        <v>35580321.44047384</v>
      </c>
      <c r="E54" s="49">
        <f t="shared" si="57"/>
        <v>35848087.160710759</v>
      </c>
      <c r="F54" s="49">
        <f t="shared" si="57"/>
        <v>36115852.880947687</v>
      </c>
      <c r="G54" s="49">
        <f t="shared" si="57"/>
        <v>36383618.601184607</v>
      </c>
      <c r="H54" s="49">
        <f t="shared" si="57"/>
        <v>36651384.321421526</v>
      </c>
      <c r="I54" s="49">
        <f t="shared" si="57"/>
        <v>36919150.041658446</v>
      </c>
      <c r="J54" s="49">
        <f t="shared" si="57"/>
        <v>37186915.761895373</v>
      </c>
      <c r="K54" s="49">
        <f t="shared" si="57"/>
        <v>37454681.482132293</v>
      </c>
      <c r="L54" s="49">
        <f t="shared" si="57"/>
        <v>37722447.202369221</v>
      </c>
      <c r="M54" s="49">
        <f t="shared" si="58"/>
        <v>37990212.92260614</v>
      </c>
      <c r="N54" s="49">
        <f t="shared" si="58"/>
        <v>38257978.64284306</v>
      </c>
      <c r="O54" s="49">
        <f t="shared" si="58"/>
        <v>38525744.36307998</v>
      </c>
      <c r="P54" s="49">
        <f t="shared" si="58"/>
        <v>38793510.0833169</v>
      </c>
      <c r="Q54" s="49">
        <f t="shared" si="58"/>
        <v>39061275.80355382</v>
      </c>
      <c r="R54" s="49">
        <f t="shared" si="58"/>
        <v>39329041.523790739</v>
      </c>
      <c r="S54" s="49">
        <f t="shared" si="58"/>
        <v>39596807.244027667</v>
      </c>
      <c r="T54" s="49">
        <f t="shared" si="58"/>
        <v>39864572.964264587</v>
      </c>
      <c r="U54" s="49">
        <f t="shared" si="58"/>
        <v>40145871.251366615</v>
      </c>
      <c r="V54" s="49">
        <f t="shared" si="58"/>
        <v>40429154.476985291</v>
      </c>
      <c r="W54" s="49">
        <f t="shared" si="59"/>
        <v>40714436.647536919</v>
      </c>
      <c r="X54" s="49">
        <f t="shared" si="59"/>
        <v>41001731.868271947</v>
      </c>
      <c r="Y54" s="49">
        <f t="shared" si="59"/>
        <v>41291054.343972377</v>
      </c>
      <c r="Z54" s="49">
        <f t="shared" si="59"/>
        <v>41582418.379654087</v>
      </c>
      <c r="AA54" s="49">
        <f t="shared" si="59"/>
        <v>41875838.381274119</v>
      </c>
      <c r="AB54" s="49">
        <f t="shared" si="59"/>
        <v>42171328.856442966</v>
      </c>
      <c r="AC54" s="49">
        <f t="shared" si="59"/>
        <v>42468904.415141851</v>
      </c>
      <c r="AD54" s="49">
        <f t="shared" si="59"/>
        <v>42768579.770445116</v>
      </c>
    </row>
    <row r="55" spans="1:36" x14ac:dyDescent="0.7">
      <c r="A55" s="93" t="s">
        <v>702</v>
      </c>
      <c r="B55" s="46">
        <v>151351344</v>
      </c>
      <c r="C55" s="49">
        <f>B55*(1+((C51-B51)/B51))</f>
        <v>152404340.67012218</v>
      </c>
      <c r="D55" s="49">
        <f t="shared" ref="D55:AD55" si="60">C55*(1+((D51-C51)/C51))</f>
        <v>153457337.34024432</v>
      </c>
      <c r="E55" s="49">
        <f t="shared" si="60"/>
        <v>154510334.01036653</v>
      </c>
      <c r="F55" s="49">
        <f t="shared" si="60"/>
        <v>155563330.68048871</v>
      </c>
      <c r="G55" s="49">
        <f t="shared" si="60"/>
        <v>156616327.35061088</v>
      </c>
      <c r="H55" s="49">
        <f t="shared" si="60"/>
        <v>157669324.02073309</v>
      </c>
      <c r="I55" s="49">
        <f t="shared" si="60"/>
        <v>158722320.69085526</v>
      </c>
      <c r="J55" s="49">
        <f t="shared" si="60"/>
        <v>159775317.36097744</v>
      </c>
      <c r="K55" s="49">
        <f t="shared" si="60"/>
        <v>160828314.03109965</v>
      </c>
      <c r="L55" s="49">
        <f t="shared" si="60"/>
        <v>161881310.70122185</v>
      </c>
      <c r="M55" s="49">
        <f t="shared" si="60"/>
        <v>162934307.371344</v>
      </c>
      <c r="N55" s="49">
        <f t="shared" si="60"/>
        <v>163987304.04146621</v>
      </c>
      <c r="O55" s="49">
        <f t="shared" si="60"/>
        <v>165040300.71158841</v>
      </c>
      <c r="P55" s="49">
        <f t="shared" si="60"/>
        <v>166093297.38171056</v>
      </c>
      <c r="Q55" s="49">
        <f t="shared" si="60"/>
        <v>167146294.05183274</v>
      </c>
      <c r="R55" s="49">
        <f t="shared" si="60"/>
        <v>168199290.72195491</v>
      </c>
      <c r="S55" s="49">
        <f t="shared" si="60"/>
        <v>169252287.39207709</v>
      </c>
      <c r="T55" s="49">
        <f t="shared" si="60"/>
        <v>170305284.06219926</v>
      </c>
      <c r="U55" s="49">
        <f t="shared" si="60"/>
        <v>171403044.27936611</v>
      </c>
      <c r="V55" s="49">
        <f t="shared" si="60"/>
        <v>172507880.48070472</v>
      </c>
      <c r="W55" s="49">
        <f t="shared" si="60"/>
        <v>173619838.27686051</v>
      </c>
      <c r="X55" s="49">
        <f t="shared" si="60"/>
        <v>174738963.57247767</v>
      </c>
      <c r="Y55" s="49">
        <f t="shared" si="60"/>
        <v>175865302.56809434</v>
      </c>
      <c r="Z55" s="49">
        <f t="shared" si="60"/>
        <v>176998901.76204979</v>
      </c>
      <c r="AA55" s="49">
        <f t="shared" si="60"/>
        <v>178139807.95240402</v>
      </c>
      <c r="AB55" s="49">
        <f t="shared" si="60"/>
        <v>179288068.23886976</v>
      </c>
      <c r="AC55" s="49">
        <f t="shared" si="60"/>
        <v>180443730.02475682</v>
      </c>
      <c r="AD55" s="49">
        <f t="shared" si="60"/>
        <v>181606841.01892906</v>
      </c>
    </row>
    <row r="56" spans="1:36" x14ac:dyDescent="0.7">
      <c r="A56" s="93" t="s">
        <v>68</v>
      </c>
      <c r="B56" s="49">
        <f>B55</f>
        <v>151351344</v>
      </c>
      <c r="C56" s="49">
        <f t="shared" ref="C56:AD56" si="61">C55</f>
        <v>152404340.67012218</v>
      </c>
      <c r="D56" s="49">
        <f t="shared" si="61"/>
        <v>153457337.34024432</v>
      </c>
      <c r="E56" s="49">
        <f t="shared" si="61"/>
        <v>154510334.01036653</v>
      </c>
      <c r="F56" s="49">
        <f t="shared" si="61"/>
        <v>155563330.68048871</v>
      </c>
      <c r="G56" s="49">
        <f t="shared" si="61"/>
        <v>156616327.35061088</v>
      </c>
      <c r="H56" s="49">
        <f t="shared" si="61"/>
        <v>157669324.02073309</v>
      </c>
      <c r="I56" s="49">
        <f t="shared" si="61"/>
        <v>158722320.69085526</v>
      </c>
      <c r="J56" s="49">
        <f t="shared" si="61"/>
        <v>159775317.36097744</v>
      </c>
      <c r="K56" s="49">
        <f t="shared" si="61"/>
        <v>160828314.03109965</v>
      </c>
      <c r="L56" s="49">
        <f t="shared" si="61"/>
        <v>161881310.70122185</v>
      </c>
      <c r="M56" s="49">
        <f t="shared" si="61"/>
        <v>162934307.371344</v>
      </c>
      <c r="N56" s="49">
        <f t="shared" si="61"/>
        <v>163987304.04146621</v>
      </c>
      <c r="O56" s="49">
        <f t="shared" si="61"/>
        <v>165040300.71158841</v>
      </c>
      <c r="P56" s="49">
        <f t="shared" si="61"/>
        <v>166093297.38171056</v>
      </c>
      <c r="Q56" s="49">
        <f t="shared" si="61"/>
        <v>167146294.05183274</v>
      </c>
      <c r="R56" s="49">
        <f t="shared" si="61"/>
        <v>168199290.72195491</v>
      </c>
      <c r="S56" s="49">
        <f t="shared" si="61"/>
        <v>169252287.39207709</v>
      </c>
      <c r="T56" s="49">
        <f t="shared" si="61"/>
        <v>170305284.06219926</v>
      </c>
      <c r="U56" s="49">
        <f t="shared" si="61"/>
        <v>171403044.27936611</v>
      </c>
      <c r="V56" s="49">
        <f t="shared" si="61"/>
        <v>172507880.48070472</v>
      </c>
      <c r="W56" s="49">
        <f t="shared" si="61"/>
        <v>173619838.27686051</v>
      </c>
      <c r="X56" s="49">
        <f t="shared" si="61"/>
        <v>174738963.57247767</v>
      </c>
      <c r="Y56" s="49">
        <f t="shared" si="61"/>
        <v>175865302.56809434</v>
      </c>
      <c r="Z56" s="49">
        <f t="shared" si="61"/>
        <v>176998901.76204979</v>
      </c>
      <c r="AA56" s="49">
        <f t="shared" si="61"/>
        <v>178139807.95240402</v>
      </c>
      <c r="AB56" s="49">
        <f t="shared" si="61"/>
        <v>179288068.23886976</v>
      </c>
      <c r="AC56" s="49">
        <f t="shared" si="61"/>
        <v>180443730.02475682</v>
      </c>
      <c r="AD56" s="49">
        <f t="shared" si="61"/>
        <v>181606841.01892906</v>
      </c>
    </row>
    <row r="57" spans="1:36" x14ac:dyDescent="0.7">
      <c r="A57" s="93" t="s">
        <v>448</v>
      </c>
      <c r="B57" s="49"/>
      <c r="C57" s="188">
        <f>(C56-B56)/B56</f>
        <v>6.95729976551894E-3</v>
      </c>
      <c r="D57" s="188">
        <f t="shared" ref="D57" si="62">(D56-C56)/C56</f>
        <v>6.9092301800074609E-3</v>
      </c>
      <c r="E57" s="188">
        <f t="shared" ref="E57" si="63">(E56-D56)/D56</f>
        <v>6.8618202842103976E-3</v>
      </c>
      <c r="F57" s="188">
        <f t="shared" ref="F57" si="64">(F56-E56)/E56</f>
        <v>6.8150565906583823E-3</v>
      </c>
      <c r="G57" s="188">
        <f t="shared" ref="G57" si="65">(G56-F56)/F56</f>
        <v>6.7689259770666952E-3</v>
      </c>
      <c r="H57" s="188">
        <f t="shared" ref="H57" si="66">(H56-G56)/G56</f>
        <v>6.7234156740561503E-3</v>
      </c>
      <c r="I57" s="188">
        <f t="shared" ref="I57" si="67">(I56-H56)/H56</f>
        <v>6.6785132533688681E-3</v>
      </c>
      <c r="J57" s="188">
        <f t="shared" ref="J57" si="68">(J56-I56)/I56</f>
        <v>6.6342066165546209E-3</v>
      </c>
      <c r="K57" s="188">
        <f t="shared" ref="K57" si="69">(K56-J56)/J56</f>
        <v>6.5904839841011871E-3</v>
      </c>
      <c r="L57" s="188">
        <f t="shared" ref="L57" si="70">(L56-K56)/K56</f>
        <v>6.5473338849935739E-3</v>
      </c>
      <c r="M57" s="188">
        <f t="shared" ref="M57" si="71">(M56-L56)/L56</f>
        <v>6.504745146681091E-3</v>
      </c>
      <c r="N57" s="188">
        <f t="shared" ref="N57" si="72">(N56-M56)/M56</f>
        <v>6.4627068854340095E-3</v>
      </c>
      <c r="O57" s="188">
        <f t="shared" ref="O57" si="73">(O56-N56)/N56</f>
        <v>6.4212084970672063E-3</v>
      </c>
      <c r="P57" s="188">
        <f t="shared" ref="P57" si="74">(P56-O56)/O56</f>
        <v>6.3802396480256152E-3</v>
      </c>
      <c r="Q57" s="188">
        <f t="shared" ref="Q57" si="75">(Q56-P56)/P56</f>
        <v>6.3397902668053579E-3</v>
      </c>
      <c r="R57" s="188">
        <f t="shared" ref="R57" si="76">(R56-Q56)/Q56</f>
        <v>6.2998505356968186E-3</v>
      </c>
      <c r="S57" s="188">
        <f t="shared" ref="S57" si="77">(S56-R56)/R56</f>
        <v>6.2604108828428588E-3</v>
      </c>
      <c r="T57" s="188">
        <f t="shared" ref="T57" si="78">(T56-S56)/S56</f>
        <v>6.2214619745899428E-3</v>
      </c>
      <c r="U57" s="188">
        <f t="shared" ref="U57" si="79">(U56-T56)/T56</f>
        <v>6.4458376803265523E-3</v>
      </c>
      <c r="V57" s="188">
        <f t="shared" ref="V57" si="80">(V56-U56)/U56</f>
        <v>6.4458376803265549E-3</v>
      </c>
      <c r="W57" s="188">
        <f t="shared" ref="W57" si="81">(W56-V56)/V56</f>
        <v>6.4458376803264638E-3</v>
      </c>
      <c r="X57" s="188">
        <f t="shared" ref="X57" si="82">(X56-W56)/W56</f>
        <v>6.4458376803263997E-3</v>
      </c>
      <c r="Y57" s="188">
        <f t="shared" ref="Y57" si="83">(Y56-X56)/X56</f>
        <v>6.4458376803264899E-3</v>
      </c>
      <c r="Z57" s="188">
        <f t="shared" ref="Z57" si="84">(Z56-Y56)/Y56</f>
        <v>6.4458376803265454E-3</v>
      </c>
      <c r="AA57" s="188">
        <f t="shared" ref="AA57" si="85">(AA56-Z56)/Z56</f>
        <v>6.4458376803264942E-3</v>
      </c>
      <c r="AB57" s="188">
        <f t="shared" ref="AB57" si="86">(AB56-AA56)/AA56</f>
        <v>6.4458376803265115E-3</v>
      </c>
      <c r="AC57" s="188">
        <f t="shared" ref="AC57" si="87">(AC56-AB56)/AB56</f>
        <v>6.4458376803265393E-3</v>
      </c>
      <c r="AD57" s="188">
        <f t="shared" ref="AD57" si="88">(AD56-AC56)/AC56</f>
        <v>6.4458376803265306E-3</v>
      </c>
    </row>
    <row r="58" spans="1:36" s="28" customFormat="1" x14ac:dyDescent="0.3">
      <c r="A58" s="403"/>
      <c r="B58" s="403"/>
      <c r="C58" s="403"/>
      <c r="D58" s="403"/>
      <c r="E58" s="403"/>
      <c r="F58" s="403"/>
      <c r="G58" s="403"/>
      <c r="H58" s="403"/>
      <c r="I58" s="403"/>
      <c r="J58" s="403"/>
      <c r="K58" s="403"/>
      <c r="L58" s="403"/>
      <c r="M58" s="403"/>
      <c r="N58" s="403"/>
      <c r="O58" s="403"/>
      <c r="P58" s="403"/>
      <c r="Q58" s="403"/>
      <c r="R58" s="403"/>
      <c r="S58" s="403"/>
      <c r="T58" s="403"/>
      <c r="U58" s="403"/>
      <c r="V58" s="403"/>
      <c r="W58" s="403"/>
      <c r="X58" s="403"/>
      <c r="Y58" s="403"/>
      <c r="Z58" s="403"/>
      <c r="AA58" s="403"/>
      <c r="AB58" s="403"/>
    </row>
    <row r="59" spans="1:36" ht="26.4" x14ac:dyDescent="0.9">
      <c r="A59" s="490" t="s">
        <v>331</v>
      </c>
      <c r="B59" s="491"/>
      <c r="C59" s="491"/>
      <c r="D59" s="491"/>
      <c r="E59" s="491"/>
      <c r="F59" s="491"/>
      <c r="G59" s="491"/>
      <c r="H59" s="491"/>
      <c r="I59" s="491"/>
      <c r="J59" s="491"/>
      <c r="K59" s="491"/>
      <c r="L59" s="491"/>
      <c r="M59" s="491"/>
      <c r="N59" s="491"/>
      <c r="O59" s="491"/>
      <c r="P59" s="491"/>
      <c r="Q59" s="491"/>
      <c r="R59" s="491"/>
      <c r="S59" s="491"/>
      <c r="T59" s="491"/>
      <c r="U59" s="491"/>
      <c r="V59" s="491"/>
      <c r="W59" s="491"/>
      <c r="X59" s="491"/>
      <c r="Y59" s="491"/>
      <c r="Z59" s="491"/>
      <c r="AA59" s="491"/>
      <c r="AB59" s="491"/>
      <c r="AC59" s="491"/>
      <c r="AD59" s="491"/>
      <c r="AE59" s="491"/>
      <c r="AF59" s="491"/>
      <c r="AG59" s="491"/>
      <c r="AH59" s="491"/>
      <c r="AI59" s="491"/>
      <c r="AJ59" s="492"/>
    </row>
    <row r="60" spans="1:36" ht="24" x14ac:dyDescent="0.85">
      <c r="A60" s="201" t="s">
        <v>36</v>
      </c>
      <c r="B60" s="202"/>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3"/>
    </row>
    <row r="61" spans="1:36" s="205" customFormat="1" x14ac:dyDescent="0.3">
      <c r="A61" s="541" t="s">
        <v>608</v>
      </c>
      <c r="B61" s="541"/>
      <c r="C61" s="541"/>
      <c r="D61" s="541"/>
      <c r="E61" s="541"/>
      <c r="F61" s="541"/>
      <c r="G61" s="541"/>
      <c r="H61" s="541"/>
      <c r="I61" s="541"/>
      <c r="J61" s="541"/>
      <c r="K61" s="541"/>
      <c r="L61" s="541"/>
    </row>
    <row r="62" spans="1:36" s="205" customFormat="1" x14ac:dyDescent="0.3">
      <c r="A62" s="541" t="s">
        <v>609</v>
      </c>
      <c r="B62" s="541"/>
      <c r="C62" s="541"/>
      <c r="D62" s="541"/>
      <c r="E62" s="541"/>
      <c r="F62" s="541"/>
      <c r="G62" s="541"/>
      <c r="H62" s="541"/>
      <c r="I62" s="541"/>
      <c r="J62" s="541"/>
      <c r="K62" s="541"/>
      <c r="L62" s="541"/>
    </row>
    <row r="63" spans="1:36" ht="26.4" customHeight="1" x14ac:dyDescent="0.85">
      <c r="A63" s="548" t="s">
        <v>348</v>
      </c>
      <c r="B63" s="549"/>
      <c r="C63" s="549"/>
      <c r="D63" s="549"/>
      <c r="E63" s="549"/>
      <c r="F63" s="549"/>
      <c r="G63" s="549"/>
      <c r="H63" s="549"/>
      <c r="I63" s="549"/>
      <c r="J63" s="549"/>
      <c r="K63" s="549"/>
      <c r="L63" s="549"/>
      <c r="M63" s="549"/>
      <c r="N63" s="549"/>
      <c r="O63" s="549"/>
      <c r="P63" s="549"/>
      <c r="Q63" s="549"/>
      <c r="R63" s="549"/>
      <c r="S63" s="549"/>
      <c r="T63" s="549"/>
      <c r="U63" s="549"/>
      <c r="V63" s="549"/>
      <c r="W63" s="549"/>
      <c r="X63" s="549"/>
      <c r="Y63" s="549"/>
      <c r="Z63" s="549"/>
      <c r="AA63" s="549"/>
      <c r="AB63" s="549"/>
      <c r="AC63" s="549"/>
      <c r="AD63" s="549"/>
      <c r="AE63" s="549"/>
      <c r="AF63" s="549"/>
      <c r="AG63" s="549"/>
      <c r="AH63" s="549"/>
      <c r="AI63" s="549"/>
      <c r="AJ63" s="550"/>
    </row>
    <row r="64" spans="1:36" ht="24" x14ac:dyDescent="0.7">
      <c r="A64" s="290"/>
      <c r="B64" s="291">
        <v>2016</v>
      </c>
      <c r="C64" s="291">
        <v>2017</v>
      </c>
      <c r="D64" s="291">
        <v>2018</v>
      </c>
      <c r="E64" s="291">
        <v>2019</v>
      </c>
      <c r="F64" s="291">
        <v>2020</v>
      </c>
      <c r="G64" s="291">
        <v>2021</v>
      </c>
      <c r="H64" s="291">
        <v>2022</v>
      </c>
      <c r="I64" s="291">
        <v>2023</v>
      </c>
      <c r="J64" s="291">
        <v>2024</v>
      </c>
      <c r="K64" s="291">
        <v>2025</v>
      </c>
      <c r="L64" s="291">
        <v>2026</v>
      </c>
      <c r="M64" s="291">
        <v>2027</v>
      </c>
      <c r="N64" s="291">
        <v>2028</v>
      </c>
      <c r="O64" s="291">
        <v>2029</v>
      </c>
      <c r="P64" s="291">
        <v>2030</v>
      </c>
      <c r="Q64" s="291">
        <v>2031</v>
      </c>
      <c r="R64" s="291">
        <v>2032</v>
      </c>
      <c r="S64" s="291">
        <v>2033</v>
      </c>
      <c r="T64" s="291">
        <v>2034</v>
      </c>
      <c r="U64" s="291">
        <v>2035</v>
      </c>
      <c r="V64" s="291">
        <v>2036</v>
      </c>
      <c r="W64" s="291">
        <v>2037</v>
      </c>
      <c r="X64" s="291">
        <v>2038</v>
      </c>
      <c r="Y64" s="291">
        <v>2039</v>
      </c>
      <c r="Z64" s="24">
        <v>2040</v>
      </c>
      <c r="AA64" s="24">
        <v>2041</v>
      </c>
      <c r="AB64" s="24">
        <v>2042</v>
      </c>
      <c r="AC64" s="24">
        <v>2043</v>
      </c>
      <c r="AD64" s="24">
        <v>2044</v>
      </c>
      <c r="AE64" s="24">
        <v>2045</v>
      </c>
      <c r="AF64" s="24">
        <v>2046</v>
      </c>
      <c r="AG64" s="24">
        <v>2047</v>
      </c>
      <c r="AH64" s="24">
        <v>2048</v>
      </c>
      <c r="AI64" s="24">
        <v>2049</v>
      </c>
      <c r="AJ64" s="24">
        <v>2050</v>
      </c>
    </row>
    <row r="65" spans="1:36" x14ac:dyDescent="0.7">
      <c r="A65" s="93" t="s">
        <v>169</v>
      </c>
      <c r="B65" s="46">
        <v>272867</v>
      </c>
      <c r="C65" s="49">
        <f>(($Z$65-B65)/($Z$64-B64))+B65</f>
        <v>274869.875</v>
      </c>
      <c r="D65" s="49">
        <f t="shared" ref="D65:Y65" si="89">(($Z$65-C65)/($Z$64-C64))+C65</f>
        <v>276872.75</v>
      </c>
      <c r="E65" s="49">
        <f t="shared" si="89"/>
        <v>278875.625</v>
      </c>
      <c r="F65" s="49">
        <f t="shared" si="89"/>
        <v>280878.5</v>
      </c>
      <c r="G65" s="49">
        <f t="shared" si="89"/>
        <v>282881.375</v>
      </c>
      <c r="H65" s="49">
        <f t="shared" si="89"/>
        <v>284884.25</v>
      </c>
      <c r="I65" s="49">
        <f t="shared" si="89"/>
        <v>286887.125</v>
      </c>
      <c r="J65" s="49">
        <f t="shared" si="89"/>
        <v>288890</v>
      </c>
      <c r="K65" s="49">
        <f t="shared" si="89"/>
        <v>290892.875</v>
      </c>
      <c r="L65" s="49">
        <f t="shared" si="89"/>
        <v>292895.75</v>
      </c>
      <c r="M65" s="49">
        <f t="shared" si="89"/>
        <v>294898.625</v>
      </c>
      <c r="N65" s="49">
        <f t="shared" si="89"/>
        <v>296901.5</v>
      </c>
      <c r="O65" s="49">
        <f t="shared" si="89"/>
        <v>298904.375</v>
      </c>
      <c r="P65" s="49">
        <f t="shared" si="89"/>
        <v>300907.25</v>
      </c>
      <c r="Q65" s="49">
        <f t="shared" si="89"/>
        <v>302910.125</v>
      </c>
      <c r="R65" s="49">
        <f t="shared" si="89"/>
        <v>304913</v>
      </c>
      <c r="S65" s="49">
        <f t="shared" si="89"/>
        <v>306915.875</v>
      </c>
      <c r="T65" s="49">
        <f t="shared" si="89"/>
        <v>308918.75</v>
      </c>
      <c r="U65" s="49">
        <f t="shared" si="89"/>
        <v>310921.625</v>
      </c>
      <c r="V65" s="49">
        <f t="shared" si="89"/>
        <v>312924.5</v>
      </c>
      <c r="W65" s="49">
        <f t="shared" si="89"/>
        <v>314927.375</v>
      </c>
      <c r="X65" s="49">
        <f t="shared" si="89"/>
        <v>316930.25</v>
      </c>
      <c r="Y65" s="49">
        <f t="shared" si="89"/>
        <v>318933.125</v>
      </c>
      <c r="Z65" s="46">
        <v>320936</v>
      </c>
      <c r="AA65" s="49">
        <f>Z65*(1+((($Z65/$B65)^(1/COUNT($B$64:$Z$64)))-1))</f>
        <v>323025.74162398797</v>
      </c>
      <c r="AB65" s="49">
        <f t="shared" ref="AB65:AJ65" si="90">AA65*(1+((($Z65/$B65)^(1/COUNT($B$64:$Z$64)))-1))</f>
        <v>325129.0903847728</v>
      </c>
      <c r="AC65" s="49">
        <f t="shared" si="90"/>
        <v>327246.1348838206</v>
      </c>
      <c r="AD65" s="49">
        <f t="shared" si="90"/>
        <v>329376.96429951687</v>
      </c>
      <c r="AE65" s="49">
        <f t="shared" si="90"/>
        <v>331521.66839092295</v>
      </c>
      <c r="AF65" s="49">
        <f t="shared" si="90"/>
        <v>333680.33750155702</v>
      </c>
      <c r="AG65" s="49">
        <f t="shared" si="90"/>
        <v>335853.06256319972</v>
      </c>
      <c r="AH65" s="49">
        <f t="shared" si="90"/>
        <v>338039.93509972462</v>
      </c>
      <c r="AI65" s="49">
        <f t="shared" si="90"/>
        <v>340241.04723095358</v>
      </c>
      <c r="AJ65" s="49">
        <f t="shared" si="90"/>
        <v>342456.49167653709</v>
      </c>
    </row>
    <row r="66" spans="1:36" x14ac:dyDescent="0.7">
      <c r="A66" s="93" t="s">
        <v>170</v>
      </c>
      <c r="B66" s="46">
        <v>50569</v>
      </c>
      <c r="C66" s="49">
        <f>(($Z$66-B66)/($Z$64-B64))+B66</f>
        <v>51128.833333333336</v>
      </c>
      <c r="D66" s="49">
        <f t="shared" ref="D66:Y66" si="91">(($Z$66-C66)/($Z$64-C64))+C66</f>
        <v>51688.666666666672</v>
      </c>
      <c r="E66" s="49">
        <f t="shared" si="91"/>
        <v>52248.500000000007</v>
      </c>
      <c r="F66" s="49">
        <f t="shared" si="91"/>
        <v>52808.333333333343</v>
      </c>
      <c r="G66" s="49">
        <f t="shared" si="91"/>
        <v>53368.166666666679</v>
      </c>
      <c r="H66" s="49">
        <f t="shared" si="91"/>
        <v>53928.000000000015</v>
      </c>
      <c r="I66" s="49">
        <f t="shared" si="91"/>
        <v>54487.83333333335</v>
      </c>
      <c r="J66" s="49">
        <f t="shared" si="91"/>
        <v>55047.666666666686</v>
      </c>
      <c r="K66" s="49">
        <f t="shared" si="91"/>
        <v>55607.500000000015</v>
      </c>
      <c r="L66" s="49">
        <f t="shared" si="91"/>
        <v>56167.33333333335</v>
      </c>
      <c r="M66" s="49">
        <f t="shared" si="91"/>
        <v>56727.166666666686</v>
      </c>
      <c r="N66" s="49">
        <f t="shared" si="91"/>
        <v>57287.000000000015</v>
      </c>
      <c r="O66" s="49">
        <f t="shared" si="91"/>
        <v>57846.833333333343</v>
      </c>
      <c r="P66" s="49">
        <f t="shared" si="91"/>
        <v>58406.666666666679</v>
      </c>
      <c r="Q66" s="49">
        <f t="shared" si="91"/>
        <v>58966.500000000015</v>
      </c>
      <c r="R66" s="49">
        <f t="shared" si="91"/>
        <v>59526.333333333343</v>
      </c>
      <c r="S66" s="49">
        <f t="shared" si="91"/>
        <v>60086.166666666672</v>
      </c>
      <c r="T66" s="49">
        <f t="shared" si="91"/>
        <v>60646.000000000007</v>
      </c>
      <c r="U66" s="49">
        <f t="shared" si="91"/>
        <v>61205.833333333343</v>
      </c>
      <c r="V66" s="49">
        <f t="shared" si="91"/>
        <v>61765.666666666672</v>
      </c>
      <c r="W66" s="49">
        <f t="shared" si="91"/>
        <v>62325.5</v>
      </c>
      <c r="X66" s="49">
        <f t="shared" si="91"/>
        <v>62885.333333333336</v>
      </c>
      <c r="Y66" s="49">
        <f t="shared" si="91"/>
        <v>63445.166666666672</v>
      </c>
      <c r="Z66" s="46">
        <v>64005</v>
      </c>
      <c r="AA66" s="49">
        <f t="shared" ref="AA66:AJ68" si="92">Z66*(1+((($Z66/$B66)^(1/COUNT($B$64:$Z$64)))-1))</f>
        <v>64611.092327684179</v>
      </c>
      <c r="AB66" s="49">
        <f t="shared" si="92"/>
        <v>65222.924018069352</v>
      </c>
      <c r="AC66" s="49">
        <f t="shared" si="92"/>
        <v>65840.54941977984</v>
      </c>
      <c r="AD66" s="49">
        <f t="shared" si="92"/>
        <v>66464.023396091681</v>
      </c>
      <c r="AE66" s="49">
        <f t="shared" si="92"/>
        <v>67093.401329806118</v>
      </c>
      <c r="AF66" s="49">
        <f t="shared" si="92"/>
        <v>67728.739128169225</v>
      </c>
      <c r="AG66" s="49">
        <f t="shared" si="92"/>
        <v>68370.093227838108</v>
      </c>
      <c r="AH66" s="49">
        <f t="shared" si="92"/>
        <v>69017.520599894109</v>
      </c>
      <c r="AI66" s="49">
        <f t="shared" si="92"/>
        <v>69671.078754903574</v>
      </c>
      <c r="AJ66" s="49">
        <f t="shared" si="92"/>
        <v>70330.825748026415</v>
      </c>
    </row>
    <row r="67" spans="1:36" x14ac:dyDescent="0.7">
      <c r="A67" s="93" t="s">
        <v>171</v>
      </c>
      <c r="B67" s="46">
        <v>6086</v>
      </c>
      <c r="C67" s="49">
        <f>(($Z$67-B67)/($Z$64-B64))+B67</f>
        <v>6130.625</v>
      </c>
      <c r="D67" s="49">
        <f t="shared" ref="D67:Y67" si="93">(($Z$67-C67)/($Z$64-C64))+C67</f>
        <v>6175.25</v>
      </c>
      <c r="E67" s="49">
        <f t="shared" si="93"/>
        <v>6219.875</v>
      </c>
      <c r="F67" s="49">
        <f t="shared" si="93"/>
        <v>6264.5</v>
      </c>
      <c r="G67" s="49">
        <f t="shared" si="93"/>
        <v>6309.125</v>
      </c>
      <c r="H67" s="49">
        <f t="shared" si="93"/>
        <v>6353.75</v>
      </c>
      <c r="I67" s="49">
        <f t="shared" si="93"/>
        <v>6398.375</v>
      </c>
      <c r="J67" s="49">
        <f t="shared" si="93"/>
        <v>6443</v>
      </c>
      <c r="K67" s="49">
        <f t="shared" si="93"/>
        <v>6487.625</v>
      </c>
      <c r="L67" s="49">
        <f t="shared" si="93"/>
        <v>6532.25</v>
      </c>
      <c r="M67" s="49">
        <f t="shared" si="93"/>
        <v>6576.875</v>
      </c>
      <c r="N67" s="49">
        <f t="shared" si="93"/>
        <v>6621.5</v>
      </c>
      <c r="O67" s="49">
        <f t="shared" si="93"/>
        <v>6666.125</v>
      </c>
      <c r="P67" s="49">
        <f t="shared" si="93"/>
        <v>6710.75</v>
      </c>
      <c r="Q67" s="49">
        <f t="shared" si="93"/>
        <v>6755.375</v>
      </c>
      <c r="R67" s="49">
        <f t="shared" si="93"/>
        <v>6800</v>
      </c>
      <c r="S67" s="49">
        <f t="shared" si="93"/>
        <v>6844.625</v>
      </c>
      <c r="T67" s="49">
        <f t="shared" si="93"/>
        <v>6889.25</v>
      </c>
      <c r="U67" s="49">
        <f t="shared" si="93"/>
        <v>6933.875</v>
      </c>
      <c r="V67" s="49">
        <f t="shared" si="93"/>
        <v>6978.5</v>
      </c>
      <c r="W67" s="49">
        <f t="shared" si="93"/>
        <v>7023.125</v>
      </c>
      <c r="X67" s="49">
        <f t="shared" si="93"/>
        <v>7067.75</v>
      </c>
      <c r="Y67" s="49">
        <f t="shared" si="93"/>
        <v>7112.375</v>
      </c>
      <c r="Z67" s="46">
        <v>7157</v>
      </c>
      <c r="AA67" s="49">
        <f t="shared" si="92"/>
        <v>7203.556717905014</v>
      </c>
      <c r="AB67" s="49">
        <f t="shared" si="92"/>
        <v>7250.4162900760739</v>
      </c>
      <c r="AC67" s="49">
        <f t="shared" si="92"/>
        <v>7297.5806865984987</v>
      </c>
      <c r="AD67" s="49">
        <f t="shared" si="92"/>
        <v>7345.0518903731318</v>
      </c>
      <c r="AE67" s="49">
        <f t="shared" si="92"/>
        <v>7392.8318971997069</v>
      </c>
      <c r="AF67" s="49">
        <f t="shared" si="92"/>
        <v>7440.9227158607546</v>
      </c>
      <c r="AG67" s="49">
        <f t="shared" si="92"/>
        <v>7489.3263682060588</v>
      </c>
      <c r="AH67" s="49">
        <f t="shared" si="92"/>
        <v>7538.044889237658</v>
      </c>
      <c r="AI67" s="49">
        <f t="shared" si="92"/>
        <v>7587.0803271954019</v>
      </c>
      <c r="AJ67" s="49">
        <f t="shared" si="92"/>
        <v>7636.4347436430644</v>
      </c>
    </row>
    <row r="68" spans="1:36" x14ac:dyDescent="0.7">
      <c r="A68" s="93" t="s">
        <v>172</v>
      </c>
      <c r="B68" s="46">
        <v>27461</v>
      </c>
      <c r="C68" s="49">
        <f>(($Z$68-B68)/($Z$64-B64))+B68</f>
        <v>27606.125</v>
      </c>
      <c r="D68" s="49">
        <f t="shared" ref="D68:Y68" si="94">(($Z$68-C68)/($Z$64-C64))+C68</f>
        <v>27751.25</v>
      </c>
      <c r="E68" s="49">
        <f t="shared" si="94"/>
        <v>27896.375</v>
      </c>
      <c r="F68" s="49">
        <f t="shared" si="94"/>
        <v>28041.5</v>
      </c>
      <c r="G68" s="49">
        <f t="shared" si="94"/>
        <v>28186.625</v>
      </c>
      <c r="H68" s="49">
        <f t="shared" si="94"/>
        <v>28331.75</v>
      </c>
      <c r="I68" s="49">
        <f t="shared" si="94"/>
        <v>28476.875</v>
      </c>
      <c r="J68" s="49">
        <f t="shared" si="94"/>
        <v>28622</v>
      </c>
      <c r="K68" s="49">
        <f t="shared" si="94"/>
        <v>28767.125</v>
      </c>
      <c r="L68" s="49">
        <f t="shared" si="94"/>
        <v>28912.25</v>
      </c>
      <c r="M68" s="49">
        <f t="shared" si="94"/>
        <v>29057.375</v>
      </c>
      <c r="N68" s="49">
        <f t="shared" si="94"/>
        <v>29202.5</v>
      </c>
      <c r="O68" s="49">
        <f t="shared" si="94"/>
        <v>29347.625</v>
      </c>
      <c r="P68" s="49">
        <f t="shared" si="94"/>
        <v>29492.75</v>
      </c>
      <c r="Q68" s="49">
        <f t="shared" si="94"/>
        <v>29637.875</v>
      </c>
      <c r="R68" s="49">
        <f t="shared" si="94"/>
        <v>29783</v>
      </c>
      <c r="S68" s="49">
        <f t="shared" si="94"/>
        <v>29928.125</v>
      </c>
      <c r="T68" s="49">
        <f t="shared" si="94"/>
        <v>30073.25</v>
      </c>
      <c r="U68" s="49">
        <f t="shared" si="94"/>
        <v>30218.375</v>
      </c>
      <c r="V68" s="49">
        <f t="shared" si="94"/>
        <v>30363.5</v>
      </c>
      <c r="W68" s="49">
        <f t="shared" si="94"/>
        <v>30508.625</v>
      </c>
      <c r="X68" s="49">
        <f t="shared" si="94"/>
        <v>30653.75</v>
      </c>
      <c r="Y68" s="49">
        <f t="shared" si="94"/>
        <v>30798.875</v>
      </c>
      <c r="Z68" s="46">
        <v>30944</v>
      </c>
      <c r="AA68" s="49">
        <f t="shared" si="92"/>
        <v>31092.157326615645</v>
      </c>
      <c r="AB68" s="49">
        <f t="shared" si="92"/>
        <v>31241.024018324031</v>
      </c>
      <c r="AC68" s="49">
        <f t="shared" si="92"/>
        <v>31390.603471506878</v>
      </c>
      <c r="AD68" s="49">
        <f t="shared" si="92"/>
        <v>31540.899098807491</v>
      </c>
      <c r="AE68" s="49">
        <f t="shared" si="92"/>
        <v>31691.914329208637</v>
      </c>
      <c r="AF68" s="49">
        <f t="shared" si="92"/>
        <v>31843.65260811077</v>
      </c>
      <c r="AG68" s="49">
        <f t="shared" si="92"/>
        <v>31996.117397410631</v>
      </c>
      <c r="AH68" s="49">
        <f t="shared" si="92"/>
        <v>32149.312175580249</v>
      </c>
      <c r="AI68" s="49">
        <f t="shared" si="92"/>
        <v>32303.240437746281</v>
      </c>
      <c r="AJ68" s="49">
        <f t="shared" si="92"/>
        <v>32457.905695769768</v>
      </c>
    </row>
    <row r="69" spans="1:36" x14ac:dyDescent="0.7">
      <c r="A69" s="93" t="s">
        <v>702</v>
      </c>
      <c r="B69" s="46">
        <v>237826</v>
      </c>
      <c r="C69" s="49">
        <f>B69*(1+((C65-B65)/B65))</f>
        <v>239571.670050794</v>
      </c>
      <c r="D69" s="49">
        <f t="shared" ref="D69:AJ69" si="95">C69*(1+((D65-C65)/C65))</f>
        <v>241317.34010158799</v>
      </c>
      <c r="E69" s="49">
        <f t="shared" si="95"/>
        <v>243063.01015238199</v>
      </c>
      <c r="F69" s="49">
        <f t="shared" si="95"/>
        <v>244808.68020317593</v>
      </c>
      <c r="G69" s="49">
        <f t="shared" si="95"/>
        <v>246554.3502539699</v>
      </c>
      <c r="H69" s="49">
        <f t="shared" si="95"/>
        <v>248300.02030476389</v>
      </c>
      <c r="I69" s="49">
        <f t="shared" si="95"/>
        <v>250045.69035555789</v>
      </c>
      <c r="J69" s="49">
        <f t="shared" si="95"/>
        <v>251791.36040635186</v>
      </c>
      <c r="K69" s="49">
        <f t="shared" si="95"/>
        <v>253537.03045714583</v>
      </c>
      <c r="L69" s="49">
        <f t="shared" si="95"/>
        <v>255282.70050793979</v>
      </c>
      <c r="M69" s="49">
        <f t="shared" si="95"/>
        <v>257028.37055873379</v>
      </c>
      <c r="N69" s="49">
        <f t="shared" si="95"/>
        <v>258774.04060952776</v>
      </c>
      <c r="O69" s="49">
        <f t="shared" si="95"/>
        <v>260519.71066032173</v>
      </c>
      <c r="P69" s="49">
        <f t="shared" si="95"/>
        <v>262265.38071111566</v>
      </c>
      <c r="Q69" s="49">
        <f t="shared" si="95"/>
        <v>264011.05076190963</v>
      </c>
      <c r="R69" s="49">
        <f t="shared" si="95"/>
        <v>265756.7208127036</v>
      </c>
      <c r="S69" s="49">
        <f t="shared" si="95"/>
        <v>267502.39086349757</v>
      </c>
      <c r="T69" s="49">
        <f t="shared" si="95"/>
        <v>269248.06091429153</v>
      </c>
      <c r="U69" s="49">
        <f t="shared" si="95"/>
        <v>270993.7309650855</v>
      </c>
      <c r="V69" s="49">
        <f t="shared" si="95"/>
        <v>272739.40101587947</v>
      </c>
      <c r="W69" s="49">
        <f t="shared" si="95"/>
        <v>274485.0710666735</v>
      </c>
      <c r="X69" s="49">
        <f t="shared" si="95"/>
        <v>276230.74111746746</v>
      </c>
      <c r="Y69" s="49">
        <f t="shared" si="95"/>
        <v>277976.41116826149</v>
      </c>
      <c r="Z69" s="49">
        <f t="shared" si="95"/>
        <v>279722.08121905546</v>
      </c>
      <c r="AA69" s="49">
        <f t="shared" si="95"/>
        <v>281543.4626666712</v>
      </c>
      <c r="AB69" s="49">
        <f t="shared" si="95"/>
        <v>283376.70385150635</v>
      </c>
      <c r="AC69" s="49">
        <f t="shared" si="95"/>
        <v>285221.88199701515</v>
      </c>
      <c r="AD69" s="49">
        <f t="shared" si="95"/>
        <v>287079.07482948439</v>
      </c>
      <c r="AE69" s="49">
        <f t="shared" si="95"/>
        <v>288948.36058130761</v>
      </c>
      <c r="AF69" s="49">
        <f t="shared" si="95"/>
        <v>290829.81799428043</v>
      </c>
      <c r="AG69" s="49">
        <f t="shared" si="95"/>
        <v>292723.52632291761</v>
      </c>
      <c r="AH69" s="49">
        <f t="shared" si="95"/>
        <v>294629.5653377914</v>
      </c>
      <c r="AI69" s="49">
        <f t="shared" si="95"/>
        <v>296548.01532889204</v>
      </c>
      <c r="AJ69" s="49">
        <f t="shared" si="95"/>
        <v>298478.95710900961</v>
      </c>
    </row>
    <row r="70" spans="1:36" x14ac:dyDescent="0.7">
      <c r="A70" s="93" t="s">
        <v>68</v>
      </c>
      <c r="B70" s="49">
        <f>B69</f>
        <v>237826</v>
      </c>
      <c r="C70" s="49">
        <f t="shared" ref="C70:AJ70" si="96">C69</f>
        <v>239571.670050794</v>
      </c>
      <c r="D70" s="49">
        <f t="shared" si="96"/>
        <v>241317.34010158799</v>
      </c>
      <c r="E70" s="49">
        <f t="shared" si="96"/>
        <v>243063.01015238199</v>
      </c>
      <c r="F70" s="49">
        <f t="shared" si="96"/>
        <v>244808.68020317593</v>
      </c>
      <c r="G70" s="49">
        <f t="shared" si="96"/>
        <v>246554.3502539699</v>
      </c>
      <c r="H70" s="49">
        <f t="shared" si="96"/>
        <v>248300.02030476389</v>
      </c>
      <c r="I70" s="49">
        <f t="shared" si="96"/>
        <v>250045.69035555789</v>
      </c>
      <c r="J70" s="49">
        <f t="shared" si="96"/>
        <v>251791.36040635186</v>
      </c>
      <c r="K70" s="49">
        <f t="shared" si="96"/>
        <v>253537.03045714583</v>
      </c>
      <c r="L70" s="49">
        <f t="shared" si="96"/>
        <v>255282.70050793979</v>
      </c>
      <c r="M70" s="49">
        <f t="shared" si="96"/>
        <v>257028.37055873379</v>
      </c>
      <c r="N70" s="49">
        <f t="shared" si="96"/>
        <v>258774.04060952776</v>
      </c>
      <c r="O70" s="49">
        <f t="shared" si="96"/>
        <v>260519.71066032173</v>
      </c>
      <c r="P70" s="49">
        <f t="shared" si="96"/>
        <v>262265.38071111566</v>
      </c>
      <c r="Q70" s="49">
        <f t="shared" si="96"/>
        <v>264011.05076190963</v>
      </c>
      <c r="R70" s="49">
        <f t="shared" si="96"/>
        <v>265756.7208127036</v>
      </c>
      <c r="S70" s="49">
        <f t="shared" si="96"/>
        <v>267502.39086349757</v>
      </c>
      <c r="T70" s="49">
        <f t="shared" si="96"/>
        <v>269248.06091429153</v>
      </c>
      <c r="U70" s="49">
        <f t="shared" si="96"/>
        <v>270993.7309650855</v>
      </c>
      <c r="V70" s="49">
        <f t="shared" si="96"/>
        <v>272739.40101587947</v>
      </c>
      <c r="W70" s="49">
        <f t="shared" si="96"/>
        <v>274485.0710666735</v>
      </c>
      <c r="X70" s="49">
        <f t="shared" si="96"/>
        <v>276230.74111746746</v>
      </c>
      <c r="Y70" s="49">
        <f t="shared" si="96"/>
        <v>277976.41116826149</v>
      </c>
      <c r="Z70" s="49">
        <f t="shared" si="96"/>
        <v>279722.08121905546</v>
      </c>
      <c r="AA70" s="49">
        <f t="shared" si="96"/>
        <v>281543.4626666712</v>
      </c>
      <c r="AB70" s="49">
        <f t="shared" si="96"/>
        <v>283376.70385150635</v>
      </c>
      <c r="AC70" s="49">
        <f t="shared" si="96"/>
        <v>285221.88199701515</v>
      </c>
      <c r="AD70" s="49">
        <f t="shared" si="96"/>
        <v>287079.07482948439</v>
      </c>
      <c r="AE70" s="49">
        <f t="shared" si="96"/>
        <v>288948.36058130761</v>
      </c>
      <c r="AF70" s="49">
        <f t="shared" si="96"/>
        <v>290829.81799428043</v>
      </c>
      <c r="AG70" s="49">
        <f t="shared" si="96"/>
        <v>292723.52632291761</v>
      </c>
      <c r="AH70" s="49">
        <f t="shared" si="96"/>
        <v>294629.5653377914</v>
      </c>
      <c r="AI70" s="49">
        <f t="shared" si="96"/>
        <v>296548.01532889204</v>
      </c>
      <c r="AJ70" s="49">
        <f t="shared" si="96"/>
        <v>298478.95710900961</v>
      </c>
    </row>
    <row r="71" spans="1:36" x14ac:dyDescent="0.7">
      <c r="A71" s="93" t="s">
        <v>448</v>
      </c>
      <c r="B71" s="49"/>
      <c r="C71" s="188">
        <f>(C70-B70)/B70</f>
        <v>7.3401144147149464E-3</v>
      </c>
      <c r="D71" s="188">
        <f t="shared" ref="D71:AJ71" si="97">(D70-C70)/C70</f>
        <v>7.2866297188807E-3</v>
      </c>
      <c r="E71" s="188">
        <f t="shared" si="97"/>
        <v>7.2339188309431786E-3</v>
      </c>
      <c r="F71" s="188">
        <f t="shared" si="97"/>
        <v>7.1819650785182676E-3</v>
      </c>
      <c r="G71" s="188">
        <f t="shared" si="97"/>
        <v>7.1307522647692497E-3</v>
      </c>
      <c r="H71" s="188">
        <f t="shared" si="97"/>
        <v>7.0802646515700195E-3</v>
      </c>
      <c r="I71" s="188">
        <f t="shared" si="97"/>
        <v>7.0304869433814718E-3</v>
      </c>
      <c r="J71" s="188">
        <f t="shared" si="97"/>
        <v>6.9814042718019829E-3</v>
      </c>
      <c r="K71" s="188">
        <f t="shared" si="97"/>
        <v>6.9330021807608071E-3</v>
      </c>
      <c r="L71" s="188">
        <f t="shared" si="97"/>
        <v>6.8852666123224559E-3</v>
      </c>
      <c r="M71" s="188">
        <f t="shared" si="97"/>
        <v>6.8381838930746622E-3</v>
      </c>
      <c r="N71" s="188">
        <f t="shared" si="97"/>
        <v>6.7917407210697891E-3</v>
      </c>
      <c r="O71" s="188">
        <f t="shared" si="97"/>
        <v>6.7459241532965971E-3</v>
      </c>
      <c r="P71" s="188">
        <f t="shared" si="97"/>
        <v>6.7007215936533424E-3</v>
      </c>
      <c r="Q71" s="188">
        <f t="shared" si="97"/>
        <v>6.656120781403538E-3</v>
      </c>
      <c r="R71" s="188">
        <f t="shared" si="97"/>
        <v>6.6121097800873772E-3</v>
      </c>
      <c r="S71" s="188">
        <f t="shared" si="97"/>
        <v>6.5686769668724847E-3</v>
      </c>
      <c r="T71" s="188">
        <f t="shared" si="97"/>
        <v>6.525811022320009E-3</v>
      </c>
      <c r="U71" s="188">
        <f t="shared" si="97"/>
        <v>6.4835009205494653E-3</v>
      </c>
      <c r="V71" s="188">
        <f t="shared" si="97"/>
        <v>6.4417359197836118E-3</v>
      </c>
      <c r="W71" s="188">
        <f t="shared" si="97"/>
        <v>6.4005055532566383E-3</v>
      </c>
      <c r="X71" s="188">
        <f t="shared" si="97"/>
        <v>6.35979962046802E-3</v>
      </c>
      <c r="Y71" s="188">
        <f t="shared" si="97"/>
        <v>6.3196081787713753E-3</v>
      </c>
      <c r="Z71" s="188">
        <f t="shared" si="97"/>
        <v>6.2799215352748001E-3</v>
      </c>
      <c r="AA71" s="188">
        <f t="shared" si="97"/>
        <v>6.5113967394993932E-3</v>
      </c>
      <c r="AB71" s="188">
        <f t="shared" si="97"/>
        <v>6.5113967394994487E-3</v>
      </c>
      <c r="AC71" s="188">
        <f t="shared" si="97"/>
        <v>6.5113967394994712E-3</v>
      </c>
      <c r="AD71" s="188">
        <f t="shared" si="97"/>
        <v>6.511396739499381E-3</v>
      </c>
      <c r="AE71" s="188">
        <f t="shared" si="97"/>
        <v>6.5113967394994365E-3</v>
      </c>
      <c r="AF71" s="188">
        <f t="shared" si="97"/>
        <v>6.5113967394993654E-3</v>
      </c>
      <c r="AG71" s="188">
        <f t="shared" si="97"/>
        <v>6.5113967394994565E-3</v>
      </c>
      <c r="AH71" s="188">
        <f t="shared" si="97"/>
        <v>6.5113967394993351E-3</v>
      </c>
      <c r="AI71" s="188">
        <f t="shared" si="97"/>
        <v>6.5113967394994747E-3</v>
      </c>
      <c r="AJ71" s="188">
        <f t="shared" si="97"/>
        <v>6.5113967394994253E-3</v>
      </c>
    </row>
    <row r="72" spans="1:36" ht="24" x14ac:dyDescent="0.85">
      <c r="A72" s="201" t="s">
        <v>332</v>
      </c>
      <c r="B72" s="202"/>
      <c r="C72" s="202"/>
      <c r="D72" s="202"/>
      <c r="E72" s="289"/>
      <c r="F72" s="289"/>
      <c r="G72" s="289"/>
      <c r="H72" s="289"/>
      <c r="I72" s="289"/>
      <c r="J72" s="289"/>
      <c r="K72" s="289"/>
      <c r="L72" s="289"/>
      <c r="M72" s="289"/>
      <c r="N72" s="289"/>
      <c r="O72" s="289"/>
      <c r="P72" s="289"/>
      <c r="Q72" s="289"/>
      <c r="R72" s="289"/>
      <c r="S72" s="289"/>
      <c r="T72" s="289"/>
      <c r="U72" s="289"/>
      <c r="V72" s="289"/>
      <c r="W72" s="289"/>
      <c r="X72" s="289"/>
      <c r="Y72" s="289"/>
      <c r="Z72" s="289"/>
      <c r="AA72" s="289"/>
      <c r="AB72" s="289"/>
      <c r="AC72" s="289"/>
      <c r="AD72" s="203"/>
    </row>
    <row r="73" spans="1:36" ht="42" customHeight="1" x14ac:dyDescent="0.7">
      <c r="A73" s="545" t="s">
        <v>335</v>
      </c>
      <c r="B73" s="546"/>
      <c r="C73" s="547"/>
      <c r="D73" s="160">
        <f>55/1570</f>
        <v>3.5031847133757961E-2</v>
      </c>
      <c r="E73" s="371"/>
      <c r="F73" s="372"/>
      <c r="G73" s="372"/>
      <c r="H73" s="372"/>
      <c r="I73" s="372"/>
      <c r="J73" s="372"/>
      <c r="K73" s="372"/>
      <c r="L73" s="372"/>
      <c r="M73" s="372"/>
      <c r="N73" s="372"/>
      <c r="O73" s="372"/>
      <c r="P73" s="372"/>
      <c r="Q73" s="372"/>
      <c r="R73" s="372"/>
      <c r="S73" s="372"/>
      <c r="T73" s="372"/>
      <c r="U73" s="372"/>
      <c r="V73" s="372"/>
      <c r="W73" s="372"/>
      <c r="X73" s="372"/>
      <c r="Y73" s="372"/>
      <c r="Z73" s="372"/>
      <c r="AA73" s="372"/>
      <c r="AB73" s="372"/>
      <c r="AC73" s="372"/>
      <c r="AD73" s="373"/>
    </row>
    <row r="74" spans="1:36" ht="24" x14ac:dyDescent="0.7">
      <c r="A74" s="2"/>
      <c r="B74" s="2">
        <v>2022</v>
      </c>
      <c r="C74" s="2">
        <v>2023</v>
      </c>
      <c r="D74" s="2">
        <v>2024</v>
      </c>
      <c r="E74" s="24">
        <v>2025</v>
      </c>
      <c r="F74" s="24">
        <v>2026</v>
      </c>
      <c r="G74" s="24">
        <v>2027</v>
      </c>
      <c r="H74" s="24">
        <v>2028</v>
      </c>
      <c r="I74" s="24">
        <v>2029</v>
      </c>
      <c r="J74" s="24">
        <v>2030</v>
      </c>
      <c r="K74" s="24">
        <v>2031</v>
      </c>
      <c r="L74" s="24">
        <v>2032</v>
      </c>
      <c r="M74" s="24">
        <v>2033</v>
      </c>
      <c r="N74" s="24">
        <v>2034</v>
      </c>
      <c r="O74" s="24">
        <v>2035</v>
      </c>
      <c r="P74" s="24">
        <v>2036</v>
      </c>
      <c r="Q74" s="24">
        <v>2037</v>
      </c>
      <c r="R74" s="24">
        <v>2038</v>
      </c>
      <c r="S74" s="24">
        <v>2039</v>
      </c>
      <c r="T74" s="24">
        <v>2040</v>
      </c>
      <c r="U74" s="24">
        <v>2041</v>
      </c>
      <c r="V74" s="24">
        <v>2042</v>
      </c>
      <c r="W74" s="24">
        <v>2043</v>
      </c>
      <c r="X74" s="24">
        <v>2044</v>
      </c>
      <c r="Y74" s="24">
        <v>2045</v>
      </c>
      <c r="Z74" s="24">
        <v>2046</v>
      </c>
      <c r="AA74" s="24">
        <v>2047</v>
      </c>
      <c r="AB74" s="24">
        <v>2048</v>
      </c>
      <c r="AC74" s="24">
        <v>2049</v>
      </c>
      <c r="AD74" s="24">
        <v>2050</v>
      </c>
    </row>
    <row r="75" spans="1:36" x14ac:dyDescent="0.7">
      <c r="A75" s="93" t="s">
        <v>169</v>
      </c>
      <c r="B75" s="46">
        <f>ROUND(B65*(1-$D$73),0)</f>
        <v>263308</v>
      </c>
      <c r="C75" s="49">
        <f>ROUND(C65*(1-$D$73),0)</f>
        <v>265241</v>
      </c>
      <c r="D75" s="49">
        <f t="shared" ref="D75:AD75" si="98">ROUND(D65*(1-$D$73),0)</f>
        <v>267173</v>
      </c>
      <c r="E75" s="49">
        <f t="shared" si="98"/>
        <v>269106</v>
      </c>
      <c r="F75" s="49">
        <f t="shared" si="98"/>
        <v>271039</v>
      </c>
      <c r="G75" s="49">
        <f t="shared" si="98"/>
        <v>272972</v>
      </c>
      <c r="H75" s="49">
        <f t="shared" si="98"/>
        <v>274904</v>
      </c>
      <c r="I75" s="49">
        <f t="shared" si="98"/>
        <v>276837</v>
      </c>
      <c r="J75" s="49">
        <f t="shared" si="98"/>
        <v>278770</v>
      </c>
      <c r="K75" s="49">
        <f t="shared" si="98"/>
        <v>280702</v>
      </c>
      <c r="L75" s="49">
        <f t="shared" si="98"/>
        <v>282635</v>
      </c>
      <c r="M75" s="49">
        <f t="shared" si="98"/>
        <v>284568</v>
      </c>
      <c r="N75" s="49">
        <f t="shared" si="98"/>
        <v>286500</v>
      </c>
      <c r="O75" s="49">
        <f t="shared" si="98"/>
        <v>288433</v>
      </c>
      <c r="P75" s="49">
        <f t="shared" si="98"/>
        <v>290366</v>
      </c>
      <c r="Q75" s="49">
        <f t="shared" si="98"/>
        <v>292299</v>
      </c>
      <c r="R75" s="49">
        <f t="shared" si="98"/>
        <v>294231</v>
      </c>
      <c r="S75" s="49">
        <f t="shared" si="98"/>
        <v>296164</v>
      </c>
      <c r="T75" s="49">
        <f t="shared" si="98"/>
        <v>298097</v>
      </c>
      <c r="U75" s="49">
        <f t="shared" si="98"/>
        <v>300029</v>
      </c>
      <c r="V75" s="49">
        <f t="shared" si="98"/>
        <v>301962</v>
      </c>
      <c r="W75" s="49">
        <f t="shared" si="98"/>
        <v>303895</v>
      </c>
      <c r="X75" s="49">
        <f t="shared" si="98"/>
        <v>305828</v>
      </c>
      <c r="Y75" s="49">
        <f t="shared" si="98"/>
        <v>307760</v>
      </c>
      <c r="Z75" s="49">
        <f t="shared" si="98"/>
        <v>309693</v>
      </c>
      <c r="AA75" s="49">
        <f t="shared" si="98"/>
        <v>311710</v>
      </c>
      <c r="AB75" s="49">
        <f t="shared" si="98"/>
        <v>313739</v>
      </c>
      <c r="AC75" s="49">
        <f t="shared" si="98"/>
        <v>315782</v>
      </c>
      <c r="AD75" s="49">
        <f t="shared" si="98"/>
        <v>317838</v>
      </c>
    </row>
    <row r="76" spans="1:36" x14ac:dyDescent="0.7">
      <c r="A76" s="93" t="s">
        <v>170</v>
      </c>
      <c r="B76" s="46">
        <f>ROUND(B66*(1-$D$73),0)</f>
        <v>48797</v>
      </c>
      <c r="C76" s="49">
        <f t="shared" ref="C76:AD76" si="99">ROUND(C66*(1-$D$73),0)</f>
        <v>49338</v>
      </c>
      <c r="D76" s="49">
        <f t="shared" si="99"/>
        <v>49878</v>
      </c>
      <c r="E76" s="49">
        <f t="shared" si="99"/>
        <v>50418</v>
      </c>
      <c r="F76" s="49">
        <f t="shared" si="99"/>
        <v>50958</v>
      </c>
      <c r="G76" s="49">
        <f t="shared" si="99"/>
        <v>51499</v>
      </c>
      <c r="H76" s="49">
        <f t="shared" si="99"/>
        <v>52039</v>
      </c>
      <c r="I76" s="49">
        <f t="shared" si="99"/>
        <v>52579</v>
      </c>
      <c r="J76" s="49">
        <f t="shared" si="99"/>
        <v>53119</v>
      </c>
      <c r="K76" s="49">
        <f t="shared" si="99"/>
        <v>53659</v>
      </c>
      <c r="L76" s="49">
        <f t="shared" si="99"/>
        <v>54200</v>
      </c>
      <c r="M76" s="49">
        <f t="shared" si="99"/>
        <v>54740</v>
      </c>
      <c r="N76" s="49">
        <f t="shared" si="99"/>
        <v>55280</v>
      </c>
      <c r="O76" s="49">
        <f t="shared" si="99"/>
        <v>55820</v>
      </c>
      <c r="P76" s="49">
        <f t="shared" si="99"/>
        <v>56361</v>
      </c>
      <c r="Q76" s="49">
        <f t="shared" si="99"/>
        <v>56901</v>
      </c>
      <c r="R76" s="49">
        <f t="shared" si="99"/>
        <v>57441</v>
      </c>
      <c r="S76" s="49">
        <f t="shared" si="99"/>
        <v>57981</v>
      </c>
      <c r="T76" s="49">
        <f t="shared" si="99"/>
        <v>58521</v>
      </c>
      <c r="U76" s="49">
        <f t="shared" si="99"/>
        <v>59062</v>
      </c>
      <c r="V76" s="49">
        <f t="shared" si="99"/>
        <v>59602</v>
      </c>
      <c r="W76" s="49">
        <f t="shared" si="99"/>
        <v>60142</v>
      </c>
      <c r="X76" s="49">
        <f t="shared" si="99"/>
        <v>60682</v>
      </c>
      <c r="Y76" s="49">
        <f t="shared" si="99"/>
        <v>61223</v>
      </c>
      <c r="Z76" s="49">
        <f t="shared" si="99"/>
        <v>61763</v>
      </c>
      <c r="AA76" s="49">
        <f t="shared" si="99"/>
        <v>62348</v>
      </c>
      <c r="AB76" s="49">
        <f t="shared" si="99"/>
        <v>62938</v>
      </c>
      <c r="AC76" s="49">
        <f t="shared" si="99"/>
        <v>63534</v>
      </c>
      <c r="AD76" s="49">
        <f t="shared" si="99"/>
        <v>64136</v>
      </c>
    </row>
    <row r="77" spans="1:36" x14ac:dyDescent="0.7">
      <c r="A77" s="93" t="s">
        <v>171</v>
      </c>
      <c r="B77" s="46">
        <f>ROUND(B67*(1-$D$73),0)</f>
        <v>5873</v>
      </c>
      <c r="C77" s="49">
        <f t="shared" ref="C77:AD77" si="100">ROUND(C67*(1-$D$73),0)</f>
        <v>5916</v>
      </c>
      <c r="D77" s="49">
        <f t="shared" si="100"/>
        <v>5959</v>
      </c>
      <c r="E77" s="49">
        <f t="shared" si="100"/>
        <v>6002</v>
      </c>
      <c r="F77" s="49">
        <f t="shared" si="100"/>
        <v>6045</v>
      </c>
      <c r="G77" s="49">
        <f t="shared" si="100"/>
        <v>6088</v>
      </c>
      <c r="H77" s="49">
        <f t="shared" si="100"/>
        <v>6131</v>
      </c>
      <c r="I77" s="49">
        <f t="shared" si="100"/>
        <v>6174</v>
      </c>
      <c r="J77" s="49">
        <f t="shared" si="100"/>
        <v>6217</v>
      </c>
      <c r="K77" s="49">
        <f t="shared" si="100"/>
        <v>6260</v>
      </c>
      <c r="L77" s="49">
        <f t="shared" si="100"/>
        <v>6303</v>
      </c>
      <c r="M77" s="49">
        <f t="shared" si="100"/>
        <v>6346</v>
      </c>
      <c r="N77" s="49">
        <f t="shared" si="100"/>
        <v>6390</v>
      </c>
      <c r="O77" s="49">
        <f t="shared" si="100"/>
        <v>6433</v>
      </c>
      <c r="P77" s="49">
        <f t="shared" si="100"/>
        <v>6476</v>
      </c>
      <c r="Q77" s="49">
        <f t="shared" si="100"/>
        <v>6519</v>
      </c>
      <c r="R77" s="49">
        <f t="shared" si="100"/>
        <v>6562</v>
      </c>
      <c r="S77" s="49">
        <f t="shared" si="100"/>
        <v>6605</v>
      </c>
      <c r="T77" s="49">
        <f t="shared" si="100"/>
        <v>6648</v>
      </c>
      <c r="U77" s="49">
        <f t="shared" si="100"/>
        <v>6691</v>
      </c>
      <c r="V77" s="49">
        <f t="shared" si="100"/>
        <v>6734</v>
      </c>
      <c r="W77" s="49">
        <f t="shared" si="100"/>
        <v>6777</v>
      </c>
      <c r="X77" s="49">
        <f t="shared" si="100"/>
        <v>6820</v>
      </c>
      <c r="Y77" s="49">
        <f t="shared" si="100"/>
        <v>6863</v>
      </c>
      <c r="Z77" s="49">
        <f t="shared" si="100"/>
        <v>6906</v>
      </c>
      <c r="AA77" s="49">
        <f t="shared" si="100"/>
        <v>6951</v>
      </c>
      <c r="AB77" s="49">
        <f t="shared" si="100"/>
        <v>6996</v>
      </c>
      <c r="AC77" s="49">
        <f t="shared" si="100"/>
        <v>7042</v>
      </c>
      <c r="AD77" s="49">
        <f t="shared" si="100"/>
        <v>7088</v>
      </c>
    </row>
    <row r="78" spans="1:36" x14ac:dyDescent="0.7">
      <c r="A78" s="93" t="s">
        <v>172</v>
      </c>
      <c r="B78" s="46">
        <f>ROUND(B68*(1-$D$73),0)</f>
        <v>26499</v>
      </c>
      <c r="C78" s="49">
        <f t="shared" ref="C78:AD78" si="101">ROUND(C68*(1-$D$73),0)</f>
        <v>26639</v>
      </c>
      <c r="D78" s="49">
        <f t="shared" si="101"/>
        <v>26779</v>
      </c>
      <c r="E78" s="49">
        <f t="shared" si="101"/>
        <v>26919</v>
      </c>
      <c r="F78" s="49">
        <f t="shared" si="101"/>
        <v>27059</v>
      </c>
      <c r="G78" s="49">
        <f t="shared" si="101"/>
        <v>27199</v>
      </c>
      <c r="H78" s="49">
        <f t="shared" si="101"/>
        <v>27339</v>
      </c>
      <c r="I78" s="49">
        <f t="shared" si="101"/>
        <v>27479</v>
      </c>
      <c r="J78" s="49">
        <f t="shared" si="101"/>
        <v>27619</v>
      </c>
      <c r="K78" s="49">
        <f t="shared" si="101"/>
        <v>27759</v>
      </c>
      <c r="L78" s="49">
        <f t="shared" si="101"/>
        <v>27899</v>
      </c>
      <c r="M78" s="49">
        <f t="shared" si="101"/>
        <v>28039</v>
      </c>
      <c r="N78" s="49">
        <f t="shared" si="101"/>
        <v>28179</v>
      </c>
      <c r="O78" s="49">
        <f t="shared" si="101"/>
        <v>28320</v>
      </c>
      <c r="P78" s="49">
        <f t="shared" si="101"/>
        <v>28460</v>
      </c>
      <c r="Q78" s="49">
        <f t="shared" si="101"/>
        <v>28600</v>
      </c>
      <c r="R78" s="49">
        <f t="shared" si="101"/>
        <v>28740</v>
      </c>
      <c r="S78" s="49">
        <f t="shared" si="101"/>
        <v>28880</v>
      </c>
      <c r="T78" s="49">
        <f t="shared" si="101"/>
        <v>29020</v>
      </c>
      <c r="U78" s="49">
        <f t="shared" si="101"/>
        <v>29160</v>
      </c>
      <c r="V78" s="49">
        <f t="shared" si="101"/>
        <v>29300</v>
      </c>
      <c r="W78" s="49">
        <f t="shared" si="101"/>
        <v>29440</v>
      </c>
      <c r="X78" s="49">
        <f t="shared" si="101"/>
        <v>29580</v>
      </c>
      <c r="Y78" s="49">
        <f t="shared" si="101"/>
        <v>29720</v>
      </c>
      <c r="Z78" s="49">
        <f t="shared" si="101"/>
        <v>29860</v>
      </c>
      <c r="AA78" s="49">
        <f t="shared" si="101"/>
        <v>30003</v>
      </c>
      <c r="AB78" s="49">
        <f t="shared" si="101"/>
        <v>30147</v>
      </c>
      <c r="AC78" s="49">
        <f t="shared" si="101"/>
        <v>30291</v>
      </c>
      <c r="AD78" s="49">
        <f t="shared" si="101"/>
        <v>30436</v>
      </c>
    </row>
    <row r="79" spans="1:36" x14ac:dyDescent="0.7">
      <c r="A79" s="93" t="s">
        <v>702</v>
      </c>
      <c r="B79" s="46">
        <f>ROUND(B69*(1-$D$73),0)</f>
        <v>229495</v>
      </c>
      <c r="C79" s="49">
        <f>ROUND(C69*(1-$D$73),0)</f>
        <v>231179</v>
      </c>
      <c r="D79" s="49">
        <f t="shared" ref="D79:AD79" si="102">ROUND(D69*(1-$D$73),0)</f>
        <v>232864</v>
      </c>
      <c r="E79" s="49">
        <f t="shared" si="102"/>
        <v>234548</v>
      </c>
      <c r="F79" s="49">
        <f t="shared" si="102"/>
        <v>236233</v>
      </c>
      <c r="G79" s="49">
        <f t="shared" si="102"/>
        <v>237917</v>
      </c>
      <c r="H79" s="49">
        <f t="shared" si="102"/>
        <v>239602</v>
      </c>
      <c r="I79" s="49">
        <f t="shared" si="102"/>
        <v>241286</v>
      </c>
      <c r="J79" s="49">
        <f t="shared" si="102"/>
        <v>242971</v>
      </c>
      <c r="K79" s="49">
        <f t="shared" si="102"/>
        <v>244655</v>
      </c>
      <c r="L79" s="49">
        <f t="shared" si="102"/>
        <v>246340</v>
      </c>
      <c r="M79" s="49">
        <f t="shared" si="102"/>
        <v>248024</v>
      </c>
      <c r="N79" s="49">
        <f t="shared" si="102"/>
        <v>249709</v>
      </c>
      <c r="O79" s="49">
        <f t="shared" si="102"/>
        <v>251393</v>
      </c>
      <c r="P79" s="49">
        <f t="shared" si="102"/>
        <v>253078</v>
      </c>
      <c r="Q79" s="49">
        <f t="shared" si="102"/>
        <v>254762</v>
      </c>
      <c r="R79" s="49">
        <f t="shared" si="102"/>
        <v>256447</v>
      </c>
      <c r="S79" s="49">
        <f t="shared" si="102"/>
        <v>258131</v>
      </c>
      <c r="T79" s="49">
        <f t="shared" si="102"/>
        <v>259816</v>
      </c>
      <c r="U79" s="49">
        <f t="shared" si="102"/>
        <v>261500</v>
      </c>
      <c r="V79" s="49">
        <f t="shared" si="102"/>
        <v>263185</v>
      </c>
      <c r="W79" s="49">
        <f t="shared" si="102"/>
        <v>264869</v>
      </c>
      <c r="X79" s="49">
        <f t="shared" si="102"/>
        <v>266554</v>
      </c>
      <c r="Y79" s="49">
        <f t="shared" si="102"/>
        <v>268238</v>
      </c>
      <c r="Z79" s="49">
        <f t="shared" si="102"/>
        <v>269923</v>
      </c>
      <c r="AA79" s="49">
        <f t="shared" si="102"/>
        <v>271680</v>
      </c>
      <c r="AB79" s="49">
        <f t="shared" si="102"/>
        <v>273449</v>
      </c>
      <c r="AC79" s="49">
        <f t="shared" si="102"/>
        <v>275230</v>
      </c>
      <c r="AD79" s="49">
        <f t="shared" si="102"/>
        <v>277022</v>
      </c>
    </row>
    <row r="80" spans="1:36" x14ac:dyDescent="0.7">
      <c r="A80" s="93" t="s">
        <v>68</v>
      </c>
      <c r="B80" s="49">
        <f>B79</f>
        <v>229495</v>
      </c>
      <c r="C80" s="49">
        <f t="shared" ref="C80:AD80" si="103">C79</f>
        <v>231179</v>
      </c>
      <c r="D80" s="49">
        <f t="shared" si="103"/>
        <v>232864</v>
      </c>
      <c r="E80" s="49">
        <f t="shared" si="103"/>
        <v>234548</v>
      </c>
      <c r="F80" s="49">
        <f t="shared" si="103"/>
        <v>236233</v>
      </c>
      <c r="G80" s="49">
        <f t="shared" si="103"/>
        <v>237917</v>
      </c>
      <c r="H80" s="49">
        <f t="shared" si="103"/>
        <v>239602</v>
      </c>
      <c r="I80" s="49">
        <f t="shared" si="103"/>
        <v>241286</v>
      </c>
      <c r="J80" s="49">
        <f t="shared" si="103"/>
        <v>242971</v>
      </c>
      <c r="K80" s="49">
        <f t="shared" si="103"/>
        <v>244655</v>
      </c>
      <c r="L80" s="49">
        <f t="shared" si="103"/>
        <v>246340</v>
      </c>
      <c r="M80" s="49">
        <f t="shared" si="103"/>
        <v>248024</v>
      </c>
      <c r="N80" s="49">
        <f t="shared" si="103"/>
        <v>249709</v>
      </c>
      <c r="O80" s="49">
        <f t="shared" si="103"/>
        <v>251393</v>
      </c>
      <c r="P80" s="49">
        <f t="shared" si="103"/>
        <v>253078</v>
      </c>
      <c r="Q80" s="49">
        <f t="shared" si="103"/>
        <v>254762</v>
      </c>
      <c r="R80" s="49">
        <f t="shared" si="103"/>
        <v>256447</v>
      </c>
      <c r="S80" s="49">
        <f t="shared" si="103"/>
        <v>258131</v>
      </c>
      <c r="T80" s="49">
        <f t="shared" si="103"/>
        <v>259816</v>
      </c>
      <c r="U80" s="49">
        <f t="shared" si="103"/>
        <v>261500</v>
      </c>
      <c r="V80" s="49">
        <f t="shared" si="103"/>
        <v>263185</v>
      </c>
      <c r="W80" s="49">
        <f t="shared" si="103"/>
        <v>264869</v>
      </c>
      <c r="X80" s="49">
        <f t="shared" si="103"/>
        <v>266554</v>
      </c>
      <c r="Y80" s="49">
        <f t="shared" si="103"/>
        <v>268238</v>
      </c>
      <c r="Z80" s="49">
        <f t="shared" si="103"/>
        <v>269923</v>
      </c>
      <c r="AA80" s="49">
        <f t="shared" si="103"/>
        <v>271680</v>
      </c>
      <c r="AB80" s="49">
        <f t="shared" si="103"/>
        <v>273449</v>
      </c>
      <c r="AC80" s="49">
        <f t="shared" si="103"/>
        <v>275230</v>
      </c>
      <c r="AD80" s="49">
        <f t="shared" si="103"/>
        <v>277022</v>
      </c>
    </row>
    <row r="81" spans="1:29" s="28" customFormat="1" x14ac:dyDescent="0.3">
      <c r="A81" s="539"/>
      <c r="B81" s="539"/>
      <c r="C81" s="539"/>
      <c r="D81" s="539"/>
      <c r="E81" s="539"/>
      <c r="F81" s="539"/>
      <c r="G81" s="539"/>
      <c r="H81" s="539"/>
      <c r="I81" s="539"/>
      <c r="J81" s="539"/>
      <c r="K81" s="539"/>
      <c r="L81" s="539"/>
      <c r="M81" s="30"/>
      <c r="N81" s="45"/>
      <c r="O81" s="45"/>
      <c r="P81" s="45"/>
      <c r="Q81" s="45"/>
      <c r="R81" s="45"/>
      <c r="S81" s="45"/>
      <c r="T81" s="45"/>
      <c r="U81" s="45"/>
    </row>
    <row r="82" spans="1:29" s="28" customFormat="1" ht="26.4" x14ac:dyDescent="0.9">
      <c r="A82" s="77" t="s">
        <v>622</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9"/>
    </row>
    <row r="83" spans="1:29" s="28" customFormat="1" ht="24" x14ac:dyDescent="0.85">
      <c r="A83" s="201" t="s">
        <v>36</v>
      </c>
      <c r="B83" s="202"/>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3"/>
    </row>
    <row r="84" spans="1:29" s="28" customFormat="1" x14ac:dyDescent="0.3">
      <c r="A84" s="540" t="s">
        <v>632</v>
      </c>
      <c r="B84" s="540"/>
      <c r="C84" s="540"/>
      <c r="D84" s="540"/>
      <c r="E84" s="540"/>
      <c r="F84" s="540"/>
      <c r="G84" s="540"/>
      <c r="H84" s="540"/>
      <c r="I84" s="540"/>
      <c r="J84" s="540"/>
      <c r="K84" s="540"/>
      <c r="L84" s="540"/>
      <c r="M84" s="205"/>
      <c r="N84" s="205"/>
      <c r="O84" s="205"/>
      <c r="P84" s="205"/>
      <c r="Q84" s="205"/>
      <c r="R84" s="205"/>
      <c r="S84" s="205"/>
      <c r="T84" s="205"/>
      <c r="U84" s="205"/>
      <c r="V84" s="205"/>
      <c r="W84" s="205"/>
      <c r="X84" s="205"/>
      <c r="Y84" s="205"/>
      <c r="Z84" s="205"/>
      <c r="AA84" s="205"/>
      <c r="AB84" s="205"/>
      <c r="AC84" s="205"/>
    </row>
    <row r="85" spans="1:29" s="28" customFormat="1" ht="24" x14ac:dyDescent="0.85">
      <c r="A85" s="374" t="s">
        <v>623</v>
      </c>
      <c r="B85" s="363"/>
      <c r="C85" s="363"/>
      <c r="D85" s="363"/>
      <c r="E85" s="363"/>
      <c r="F85" s="363"/>
      <c r="G85" s="363"/>
      <c r="H85" s="363"/>
      <c r="I85" s="363"/>
      <c r="J85" s="363"/>
      <c r="K85" s="363"/>
      <c r="L85" s="363"/>
      <c r="M85" s="363"/>
      <c r="N85" s="363"/>
      <c r="O85" s="363"/>
      <c r="P85" s="363"/>
      <c r="Q85" s="363"/>
      <c r="R85" s="363"/>
      <c r="S85" s="363"/>
      <c r="T85" s="363"/>
      <c r="U85" s="363"/>
      <c r="V85" s="363"/>
      <c r="W85" s="363"/>
      <c r="X85" s="363"/>
      <c r="Y85" s="363"/>
      <c r="Z85" s="363"/>
      <c r="AA85" s="363"/>
      <c r="AB85" s="363"/>
      <c r="AC85" s="219"/>
    </row>
    <row r="86" spans="1:29" s="28" customFormat="1" ht="24" x14ac:dyDescent="0.3">
      <c r="A86" s="2"/>
      <c r="B86" s="2">
        <v>2023</v>
      </c>
      <c r="C86" s="2">
        <v>2024</v>
      </c>
      <c r="D86" s="2">
        <v>2025</v>
      </c>
      <c r="E86" s="2">
        <v>2026</v>
      </c>
      <c r="F86" s="2">
        <v>2027</v>
      </c>
      <c r="G86" s="2">
        <v>2028</v>
      </c>
      <c r="H86" s="2">
        <v>2029</v>
      </c>
      <c r="I86" s="2">
        <v>2030</v>
      </c>
      <c r="J86" s="2">
        <v>2031</v>
      </c>
      <c r="K86" s="2">
        <v>2032</v>
      </c>
      <c r="L86" s="2">
        <v>2033</v>
      </c>
      <c r="M86" s="2">
        <v>2034</v>
      </c>
      <c r="N86" s="2">
        <v>2035</v>
      </c>
      <c r="O86" s="2">
        <v>2036</v>
      </c>
      <c r="P86" s="2">
        <v>2037</v>
      </c>
      <c r="Q86" s="2">
        <v>2038</v>
      </c>
      <c r="R86" s="2">
        <v>2039</v>
      </c>
      <c r="S86" s="2">
        <v>2040</v>
      </c>
      <c r="T86" s="2">
        <v>2041</v>
      </c>
      <c r="U86" s="2">
        <v>2042</v>
      </c>
      <c r="V86" s="2">
        <v>2043</v>
      </c>
      <c r="W86" s="2">
        <v>2044</v>
      </c>
      <c r="X86" s="2">
        <v>2045</v>
      </c>
      <c r="Y86" s="2">
        <v>2046</v>
      </c>
      <c r="Z86" s="2">
        <v>2047</v>
      </c>
      <c r="AA86" s="2">
        <v>2048</v>
      </c>
      <c r="AB86" s="2">
        <v>2049</v>
      </c>
      <c r="AC86" s="2">
        <v>2050</v>
      </c>
    </row>
    <row r="87" spans="1:29" s="28" customFormat="1" x14ac:dyDescent="0.3">
      <c r="A87" s="93" t="s">
        <v>169</v>
      </c>
      <c r="B87" s="46">
        <v>758209116</v>
      </c>
      <c r="C87" s="49">
        <f t="shared" ref="C87:L90" si="104">B87*(1+((J65-I65)/I65))</f>
        <v>763502480.36136162</v>
      </c>
      <c r="D87" s="49">
        <f t="shared" si="104"/>
        <v>768795844.72272325</v>
      </c>
      <c r="E87" s="49">
        <f t="shared" si="104"/>
        <v>774089209.08408487</v>
      </c>
      <c r="F87" s="49">
        <f t="shared" si="104"/>
        <v>779382573.44544661</v>
      </c>
      <c r="G87" s="49">
        <f t="shared" si="104"/>
        <v>784675937.80680823</v>
      </c>
      <c r="H87" s="49">
        <f t="shared" si="104"/>
        <v>789969302.16816986</v>
      </c>
      <c r="I87" s="49">
        <f t="shared" si="104"/>
        <v>795262666.52953148</v>
      </c>
      <c r="J87" s="49">
        <f t="shared" si="104"/>
        <v>800556030.8908931</v>
      </c>
      <c r="K87" s="49">
        <f t="shared" si="104"/>
        <v>805849395.25225461</v>
      </c>
      <c r="L87" s="49">
        <f t="shared" si="104"/>
        <v>811142759.61361623</v>
      </c>
      <c r="M87" s="49">
        <f t="shared" ref="M87:V90" si="105">L87*(1+((T65-S65)/S65))</f>
        <v>816436123.97497785</v>
      </c>
      <c r="N87" s="49">
        <f t="shared" si="105"/>
        <v>821729488.33633947</v>
      </c>
      <c r="O87" s="49">
        <f t="shared" si="105"/>
        <v>827022852.6977011</v>
      </c>
      <c r="P87" s="49">
        <f t="shared" si="105"/>
        <v>832316217.05906284</v>
      </c>
      <c r="Q87" s="49">
        <f t="shared" si="105"/>
        <v>837609581.42042446</v>
      </c>
      <c r="R87" s="49">
        <f t="shared" si="105"/>
        <v>842902945.7817862</v>
      </c>
      <c r="S87" s="49">
        <f t="shared" si="105"/>
        <v>848196310.14314795</v>
      </c>
      <c r="T87" s="49">
        <f t="shared" si="105"/>
        <v>853719252.83146942</v>
      </c>
      <c r="U87" s="49">
        <f t="shared" si="105"/>
        <v>859278157.5908041</v>
      </c>
      <c r="V87" s="49">
        <f t="shared" si="105"/>
        <v>864873258.58446395</v>
      </c>
      <c r="W87" s="49">
        <f t="shared" ref="W87:AF90" si="106">V87*(1+((AD65-AC65)/AC65))</f>
        <v>870504791.50049102</v>
      </c>
      <c r="X87" s="49">
        <f t="shared" si="106"/>
        <v>876172993.5615859</v>
      </c>
      <c r="Y87" s="49">
        <f t="shared" si="106"/>
        <v>881878103.53510022</v>
      </c>
      <c r="Z87" s="49">
        <f t="shared" si="106"/>
        <v>887620361.74309456</v>
      </c>
      <c r="AA87" s="49">
        <f t="shared" si="106"/>
        <v>893400010.07246184</v>
      </c>
      <c r="AB87" s="49">
        <f t="shared" si="106"/>
        <v>899217291.98511636</v>
      </c>
      <c r="AC87" s="49">
        <f t="shared" si="106"/>
        <v>905072452.52824974</v>
      </c>
    </row>
    <row r="88" spans="1:29" s="28" customFormat="1" x14ac:dyDescent="0.3">
      <c r="A88" s="93" t="s">
        <v>170</v>
      </c>
      <c r="B88" s="46">
        <v>240293303.59999999</v>
      </c>
      <c r="C88" s="49">
        <f t="shared" si="104"/>
        <v>242762188.72356704</v>
      </c>
      <c r="D88" s="49">
        <f t="shared" si="104"/>
        <v>245231073.84713402</v>
      </c>
      <c r="E88" s="49">
        <f t="shared" si="104"/>
        <v>247699958.97070104</v>
      </c>
      <c r="F88" s="49">
        <f t="shared" si="104"/>
        <v>250168844.09426805</v>
      </c>
      <c r="G88" s="49">
        <f t="shared" si="104"/>
        <v>252637729.21783504</v>
      </c>
      <c r="H88" s="49">
        <f t="shared" si="104"/>
        <v>255106614.34140202</v>
      </c>
      <c r="I88" s="49">
        <f t="shared" si="104"/>
        <v>257575499.4649691</v>
      </c>
      <c r="J88" s="49">
        <f t="shared" si="104"/>
        <v>260044384.58853611</v>
      </c>
      <c r="K88" s="49">
        <f t="shared" si="104"/>
        <v>262513269.71210313</v>
      </c>
      <c r="L88" s="49">
        <f t="shared" si="104"/>
        <v>264982154.83567011</v>
      </c>
      <c r="M88" s="49">
        <f t="shared" si="105"/>
        <v>267451039.95923713</v>
      </c>
      <c r="N88" s="49">
        <f t="shared" si="105"/>
        <v>269919925.0828042</v>
      </c>
      <c r="O88" s="49">
        <f t="shared" si="105"/>
        <v>272388810.20637125</v>
      </c>
      <c r="P88" s="49">
        <f t="shared" si="105"/>
        <v>274857695.32993823</v>
      </c>
      <c r="Q88" s="49">
        <f t="shared" si="105"/>
        <v>277326580.45350528</v>
      </c>
      <c r="R88" s="49">
        <f t="shared" si="105"/>
        <v>279795465.57707232</v>
      </c>
      <c r="S88" s="49">
        <f t="shared" si="105"/>
        <v>282264350.70063937</v>
      </c>
      <c r="T88" s="49">
        <f t="shared" si="105"/>
        <v>284937239.65210271</v>
      </c>
      <c r="U88" s="49">
        <f t="shared" si="105"/>
        <v>287635439.39938253</v>
      </c>
      <c r="V88" s="49">
        <f t="shared" si="105"/>
        <v>290359189.62186563</v>
      </c>
      <c r="W88" s="49">
        <f t="shared" si="106"/>
        <v>293108732.2685715</v>
      </c>
      <c r="X88" s="49">
        <f t="shared" si="106"/>
        <v>295884311.57964432</v>
      </c>
      <c r="Y88" s="49">
        <f t="shared" si="106"/>
        <v>298686174.10804892</v>
      </c>
      <c r="Z88" s="49">
        <f t="shared" si="106"/>
        <v>301514568.74147177</v>
      </c>
      <c r="AA88" s="49">
        <f t="shared" si="106"/>
        <v>304369746.72442949</v>
      </c>
      <c r="AB88" s="49">
        <f t="shared" si="106"/>
        <v>307251961.68058687</v>
      </c>
      <c r="AC88" s="49">
        <f t="shared" si="106"/>
        <v>310161469.63528597</v>
      </c>
    </row>
    <row r="89" spans="1:29" s="28" customFormat="1" x14ac:dyDescent="0.3">
      <c r="A89" s="93" t="s">
        <v>171</v>
      </c>
      <c r="B89" s="46">
        <v>24123333.457546853</v>
      </c>
      <c r="C89" s="49">
        <f t="shared" si="104"/>
        <v>24291579.88817073</v>
      </c>
      <c r="D89" s="49">
        <f t="shared" si="104"/>
        <v>24459826.318794604</v>
      </c>
      <c r="E89" s="49">
        <f t="shared" si="104"/>
        <v>24628072.749418475</v>
      </c>
      <c r="F89" s="49">
        <f t="shared" si="104"/>
        <v>24796319.180042349</v>
      </c>
      <c r="G89" s="49">
        <f t="shared" si="104"/>
        <v>24964565.610666223</v>
      </c>
      <c r="H89" s="49">
        <f t="shared" si="104"/>
        <v>25132812.041290101</v>
      </c>
      <c r="I89" s="49">
        <f t="shared" si="104"/>
        <v>25301058.471913975</v>
      </c>
      <c r="J89" s="49">
        <f t="shared" si="104"/>
        <v>25469304.902537849</v>
      </c>
      <c r="K89" s="49">
        <f t="shared" si="104"/>
        <v>25637551.333161723</v>
      </c>
      <c r="L89" s="49">
        <f t="shared" si="104"/>
        <v>25805797.763785597</v>
      </c>
      <c r="M89" s="49">
        <f t="shared" si="105"/>
        <v>25974044.194409467</v>
      </c>
      <c r="N89" s="49">
        <f t="shared" si="105"/>
        <v>26142290.625033341</v>
      </c>
      <c r="O89" s="49">
        <f t="shared" si="105"/>
        <v>26310537.055657215</v>
      </c>
      <c r="P89" s="49">
        <f t="shared" si="105"/>
        <v>26478783.486281086</v>
      </c>
      <c r="Q89" s="49">
        <f t="shared" si="105"/>
        <v>26647029.91690496</v>
      </c>
      <c r="R89" s="49">
        <f t="shared" si="105"/>
        <v>26815276.347528834</v>
      </c>
      <c r="S89" s="49">
        <f t="shared" si="105"/>
        <v>26983522.778152708</v>
      </c>
      <c r="T89" s="49">
        <f t="shared" si="105"/>
        <v>27159052.225975256</v>
      </c>
      <c r="U89" s="49">
        <f t="shared" si="105"/>
        <v>27335723.503473129</v>
      </c>
      <c r="V89" s="49">
        <f t="shared" si="105"/>
        <v>27513544.038317431</v>
      </c>
      <c r="W89" s="49">
        <f t="shared" si="106"/>
        <v>27692521.306496713</v>
      </c>
      <c r="X89" s="49">
        <f t="shared" si="106"/>
        <v>27872662.83263129</v>
      </c>
      <c r="Y89" s="49">
        <f t="shared" si="106"/>
        <v>28053976.190289583</v>
      </c>
      <c r="Z89" s="49">
        <f t="shared" si="106"/>
        <v>28236469.002306532</v>
      </c>
      <c r="AA89" s="49">
        <f t="shared" si="106"/>
        <v>28420148.941104084</v>
      </c>
      <c r="AB89" s="49">
        <f t="shared" si="106"/>
        <v>28605023.729013748</v>
      </c>
      <c r="AC89" s="49">
        <f t="shared" si="106"/>
        <v>28791101.138601277</v>
      </c>
    </row>
    <row r="90" spans="1:29" s="28" customFormat="1" x14ac:dyDescent="0.3">
      <c r="A90" s="93" t="s">
        <v>172</v>
      </c>
      <c r="B90" s="46">
        <v>110265391.59999999</v>
      </c>
      <c r="C90" s="49">
        <f t="shared" si="104"/>
        <v>110827330.54013826</v>
      </c>
      <c r="D90" s="49">
        <f t="shared" si="104"/>
        <v>111389269.48027653</v>
      </c>
      <c r="E90" s="49">
        <f t="shared" si="104"/>
        <v>111951208.42041481</v>
      </c>
      <c r="F90" s="49">
        <f t="shared" si="104"/>
        <v>112513147.36055307</v>
      </c>
      <c r="G90" s="49">
        <f t="shared" si="104"/>
        <v>113075086.30069134</v>
      </c>
      <c r="H90" s="49">
        <f t="shared" si="104"/>
        <v>113637025.2408296</v>
      </c>
      <c r="I90" s="49">
        <f t="shared" si="104"/>
        <v>114198964.18096787</v>
      </c>
      <c r="J90" s="49">
        <f t="shared" si="104"/>
        <v>114760903.12110615</v>
      </c>
      <c r="K90" s="49">
        <f t="shared" si="104"/>
        <v>115322842.06124441</v>
      </c>
      <c r="L90" s="49">
        <f t="shared" si="104"/>
        <v>115884781.00138268</v>
      </c>
      <c r="M90" s="49">
        <f t="shared" si="105"/>
        <v>116446719.94152094</v>
      </c>
      <c r="N90" s="49">
        <f t="shared" si="105"/>
        <v>117008658.88165922</v>
      </c>
      <c r="O90" s="49">
        <f t="shared" si="105"/>
        <v>117570597.82179749</v>
      </c>
      <c r="P90" s="49">
        <f t="shared" si="105"/>
        <v>118132536.76193574</v>
      </c>
      <c r="Q90" s="49">
        <f t="shared" si="105"/>
        <v>118694475.70207401</v>
      </c>
      <c r="R90" s="49">
        <f t="shared" si="105"/>
        <v>119256414.64221227</v>
      </c>
      <c r="S90" s="49">
        <f t="shared" si="105"/>
        <v>119818353.58235055</v>
      </c>
      <c r="T90" s="49">
        <f t="shared" si="105"/>
        <v>120392034.00331257</v>
      </c>
      <c r="U90" s="49">
        <f t="shared" si="105"/>
        <v>120968461.15894049</v>
      </c>
      <c r="V90" s="49">
        <f t="shared" si="105"/>
        <v>121547648.20037395</v>
      </c>
      <c r="W90" s="49">
        <f t="shared" si="106"/>
        <v>122129608.34171915</v>
      </c>
      <c r="X90" s="49">
        <f t="shared" si="106"/>
        <v>122714354.86035037</v>
      </c>
      <c r="Y90" s="49">
        <f t="shared" si="106"/>
        <v>123301901.09721287</v>
      </c>
      <c r="Z90" s="49">
        <f t="shared" si="106"/>
        <v>123892260.45712721</v>
      </c>
      <c r="AA90" s="49">
        <f t="shared" si="106"/>
        <v>124485446.40909518</v>
      </c>
      <c r="AB90" s="49">
        <f t="shared" si="106"/>
        <v>125081472.48660703</v>
      </c>
      <c r="AC90" s="49">
        <f t="shared" si="106"/>
        <v>125680352.28795023</v>
      </c>
    </row>
    <row r="91" spans="1:29" s="28" customFormat="1" x14ac:dyDescent="0.3">
      <c r="A91" s="93" t="s">
        <v>702</v>
      </c>
      <c r="B91" s="46">
        <v>543759936.29999995</v>
      </c>
      <c r="C91" s="49">
        <f>B91*(1+((C87-B87)/B87))</f>
        <v>547556144.24211955</v>
      </c>
      <c r="D91" s="49">
        <f t="shared" ref="D91:AC91" si="107">C91*(1+((D87-C87)/C87))</f>
        <v>551352352.18423915</v>
      </c>
      <c r="E91" s="49">
        <f t="shared" si="107"/>
        <v>555148560.12635875</v>
      </c>
      <c r="F91" s="49">
        <f t="shared" si="107"/>
        <v>558944768.06847847</v>
      </c>
      <c r="G91" s="49">
        <f t="shared" si="107"/>
        <v>562740976.01059806</v>
      </c>
      <c r="H91" s="49">
        <f t="shared" si="107"/>
        <v>566537183.95271766</v>
      </c>
      <c r="I91" s="49">
        <f t="shared" si="107"/>
        <v>570333391.89483726</v>
      </c>
      <c r="J91" s="49">
        <f t="shared" si="107"/>
        <v>574129599.83695686</v>
      </c>
      <c r="K91" s="49">
        <f t="shared" si="107"/>
        <v>577925807.77907646</v>
      </c>
      <c r="L91" s="49">
        <f t="shared" si="107"/>
        <v>581722015.72119606</v>
      </c>
      <c r="M91" s="49">
        <f t="shared" si="107"/>
        <v>585518223.66331565</v>
      </c>
      <c r="N91" s="49">
        <f t="shared" si="107"/>
        <v>589314431.60543525</v>
      </c>
      <c r="O91" s="49">
        <f t="shared" si="107"/>
        <v>593110639.54755485</v>
      </c>
      <c r="P91" s="49">
        <f t="shared" si="107"/>
        <v>596906847.48967457</v>
      </c>
      <c r="Q91" s="49">
        <f t="shared" si="107"/>
        <v>600703055.43179417</v>
      </c>
      <c r="R91" s="49">
        <f t="shared" si="107"/>
        <v>604499263.37391388</v>
      </c>
      <c r="S91" s="49">
        <f t="shared" si="107"/>
        <v>608295471.31603348</v>
      </c>
      <c r="T91" s="49">
        <f t="shared" si="107"/>
        <v>612256324.46461296</v>
      </c>
      <c r="U91" s="49">
        <f t="shared" si="107"/>
        <v>616242968.29946971</v>
      </c>
      <c r="V91" s="49">
        <f t="shared" si="107"/>
        <v>620255570.75399435</v>
      </c>
      <c r="W91" s="49">
        <f t="shared" si="107"/>
        <v>624294300.85505819</v>
      </c>
      <c r="X91" s="49">
        <f t="shared" si="107"/>
        <v>628359328.73013389</v>
      </c>
      <c r="Y91" s="49">
        <f t="shared" si="107"/>
        <v>632450825.6144613</v>
      </c>
      <c r="Z91" s="49">
        <f t="shared" si="107"/>
        <v>636568963.85826099</v>
      </c>
      <c r="AA91" s="49">
        <f t="shared" si="107"/>
        <v>640713916.93399417</v>
      </c>
      <c r="AB91" s="49">
        <f t="shared" si="107"/>
        <v>644885859.44367003</v>
      </c>
      <c r="AC91" s="49">
        <f t="shared" si="107"/>
        <v>649084967.1262008</v>
      </c>
    </row>
    <row r="92" spans="1:29" s="28" customFormat="1" x14ac:dyDescent="0.3">
      <c r="A92" s="93" t="s">
        <v>68</v>
      </c>
      <c r="B92" s="49">
        <f>B91</f>
        <v>543759936.29999995</v>
      </c>
      <c r="C92" s="49">
        <f t="shared" ref="C92:AC92" si="108">C91</f>
        <v>547556144.24211955</v>
      </c>
      <c r="D92" s="49">
        <f t="shared" si="108"/>
        <v>551352352.18423915</v>
      </c>
      <c r="E92" s="49">
        <f t="shared" si="108"/>
        <v>555148560.12635875</v>
      </c>
      <c r="F92" s="49">
        <f t="shared" si="108"/>
        <v>558944768.06847847</v>
      </c>
      <c r="G92" s="49">
        <f t="shared" si="108"/>
        <v>562740976.01059806</v>
      </c>
      <c r="H92" s="49">
        <f t="shared" si="108"/>
        <v>566537183.95271766</v>
      </c>
      <c r="I92" s="49">
        <f t="shared" si="108"/>
        <v>570333391.89483726</v>
      </c>
      <c r="J92" s="49">
        <f t="shared" si="108"/>
        <v>574129599.83695686</v>
      </c>
      <c r="K92" s="49">
        <f t="shared" si="108"/>
        <v>577925807.77907646</v>
      </c>
      <c r="L92" s="49">
        <f t="shared" si="108"/>
        <v>581722015.72119606</v>
      </c>
      <c r="M92" s="49">
        <f t="shared" si="108"/>
        <v>585518223.66331565</v>
      </c>
      <c r="N92" s="49">
        <f t="shared" si="108"/>
        <v>589314431.60543525</v>
      </c>
      <c r="O92" s="49">
        <f t="shared" si="108"/>
        <v>593110639.54755485</v>
      </c>
      <c r="P92" s="49">
        <f t="shared" si="108"/>
        <v>596906847.48967457</v>
      </c>
      <c r="Q92" s="49">
        <f t="shared" si="108"/>
        <v>600703055.43179417</v>
      </c>
      <c r="R92" s="49">
        <f t="shared" si="108"/>
        <v>604499263.37391388</v>
      </c>
      <c r="S92" s="49">
        <f t="shared" si="108"/>
        <v>608295471.31603348</v>
      </c>
      <c r="T92" s="49">
        <f t="shared" si="108"/>
        <v>612256324.46461296</v>
      </c>
      <c r="U92" s="49">
        <f t="shared" si="108"/>
        <v>616242968.29946971</v>
      </c>
      <c r="V92" s="49">
        <f t="shared" si="108"/>
        <v>620255570.75399435</v>
      </c>
      <c r="W92" s="49">
        <f t="shared" si="108"/>
        <v>624294300.85505819</v>
      </c>
      <c r="X92" s="49">
        <f t="shared" si="108"/>
        <v>628359328.73013389</v>
      </c>
      <c r="Y92" s="49">
        <f t="shared" si="108"/>
        <v>632450825.6144613</v>
      </c>
      <c r="Z92" s="49">
        <f t="shared" si="108"/>
        <v>636568963.85826099</v>
      </c>
      <c r="AA92" s="49">
        <f t="shared" si="108"/>
        <v>640713916.93399417</v>
      </c>
      <c r="AB92" s="49">
        <f t="shared" si="108"/>
        <v>644885859.44367003</v>
      </c>
      <c r="AC92" s="49">
        <f t="shared" si="108"/>
        <v>649084967.1262008</v>
      </c>
    </row>
    <row r="93" spans="1:29" s="28" customFormat="1" ht="24" x14ac:dyDescent="0.85">
      <c r="A93" s="374" t="s">
        <v>631</v>
      </c>
      <c r="B93" s="363"/>
      <c r="C93" s="363"/>
      <c r="D93" s="363"/>
      <c r="E93" s="363"/>
      <c r="F93" s="363"/>
      <c r="G93" s="363"/>
      <c r="H93" s="363"/>
      <c r="I93" s="363"/>
      <c r="J93" s="363"/>
      <c r="K93" s="363"/>
      <c r="L93" s="363"/>
      <c r="M93" s="363"/>
      <c r="N93" s="363"/>
      <c r="O93" s="363"/>
      <c r="P93" s="363"/>
      <c r="Q93" s="363"/>
      <c r="R93" s="363"/>
      <c r="S93" s="363"/>
      <c r="T93" s="363"/>
      <c r="U93" s="363"/>
      <c r="V93" s="363"/>
      <c r="W93" s="363"/>
      <c r="X93" s="363"/>
      <c r="Y93" s="363"/>
      <c r="Z93" s="363"/>
      <c r="AA93" s="363"/>
      <c r="AB93" s="363"/>
      <c r="AC93" s="219"/>
    </row>
    <row r="94" spans="1:29" s="28" customFormat="1" ht="24" x14ac:dyDescent="0.3">
      <c r="A94" s="2"/>
      <c r="B94" s="2">
        <v>2023</v>
      </c>
      <c r="C94" s="2">
        <v>2024</v>
      </c>
      <c r="D94" s="2">
        <v>2025</v>
      </c>
      <c r="E94" s="2">
        <v>2026</v>
      </c>
      <c r="F94" s="2">
        <v>2027</v>
      </c>
      <c r="G94" s="2">
        <v>2028</v>
      </c>
      <c r="H94" s="2">
        <v>2029</v>
      </c>
      <c r="I94" s="2">
        <v>2030</v>
      </c>
      <c r="J94" s="2">
        <v>2031</v>
      </c>
      <c r="K94" s="2">
        <v>2032</v>
      </c>
      <c r="L94" s="2">
        <v>2033</v>
      </c>
      <c r="M94" s="2">
        <v>2034</v>
      </c>
      <c r="N94" s="2">
        <v>2035</v>
      </c>
      <c r="O94" s="2">
        <v>2036</v>
      </c>
      <c r="P94" s="2">
        <v>2037</v>
      </c>
      <c r="Q94" s="2">
        <v>2038</v>
      </c>
      <c r="R94" s="2">
        <v>2039</v>
      </c>
      <c r="S94" s="2">
        <v>2040</v>
      </c>
      <c r="T94" s="2">
        <v>2041</v>
      </c>
      <c r="U94" s="2">
        <v>2042</v>
      </c>
      <c r="V94" s="2">
        <v>2043</v>
      </c>
      <c r="W94" s="2">
        <v>2044</v>
      </c>
      <c r="X94" s="2">
        <v>2045</v>
      </c>
      <c r="Y94" s="2">
        <v>2046</v>
      </c>
      <c r="Z94" s="2">
        <v>2047</v>
      </c>
      <c r="AA94" s="2">
        <v>2048</v>
      </c>
      <c r="AB94" s="2">
        <v>2049</v>
      </c>
      <c r="AC94" s="2">
        <v>2050</v>
      </c>
    </row>
    <row r="95" spans="1:29" s="28" customFormat="1" x14ac:dyDescent="0.3">
      <c r="A95" s="93" t="s">
        <v>169</v>
      </c>
      <c r="B95" s="46">
        <f t="shared" ref="B95:AC95" si="109">ROUND(B87*(1-$D$73),0)</f>
        <v>731647650</v>
      </c>
      <c r="C95" s="49">
        <f t="shared" si="109"/>
        <v>736755578</v>
      </c>
      <c r="D95" s="49">
        <f t="shared" si="109"/>
        <v>741863506</v>
      </c>
      <c r="E95" s="49">
        <f t="shared" si="109"/>
        <v>746971434</v>
      </c>
      <c r="F95" s="49">
        <f t="shared" si="109"/>
        <v>752079362</v>
      </c>
      <c r="G95" s="49">
        <f t="shared" si="109"/>
        <v>757187290</v>
      </c>
      <c r="H95" s="49">
        <f t="shared" si="109"/>
        <v>762295218</v>
      </c>
      <c r="I95" s="49">
        <f t="shared" si="109"/>
        <v>767403146</v>
      </c>
      <c r="J95" s="49">
        <f t="shared" si="109"/>
        <v>772511074</v>
      </c>
      <c r="K95" s="49">
        <f t="shared" si="109"/>
        <v>777619002</v>
      </c>
      <c r="L95" s="49">
        <f t="shared" si="109"/>
        <v>782726930</v>
      </c>
      <c r="M95" s="49">
        <f t="shared" si="109"/>
        <v>787834858</v>
      </c>
      <c r="N95" s="49">
        <f t="shared" si="109"/>
        <v>792942787</v>
      </c>
      <c r="O95" s="49">
        <f t="shared" si="109"/>
        <v>798050715</v>
      </c>
      <c r="P95" s="49">
        <f t="shared" si="109"/>
        <v>803158643</v>
      </c>
      <c r="Q95" s="49">
        <f t="shared" si="109"/>
        <v>808266571</v>
      </c>
      <c r="R95" s="49">
        <f t="shared" si="109"/>
        <v>813374499</v>
      </c>
      <c r="S95" s="49">
        <f t="shared" si="109"/>
        <v>818482427</v>
      </c>
      <c r="T95" s="49">
        <f t="shared" si="109"/>
        <v>823811890</v>
      </c>
      <c r="U95" s="49">
        <f t="shared" si="109"/>
        <v>829176057</v>
      </c>
      <c r="V95" s="49">
        <f t="shared" si="109"/>
        <v>834575151</v>
      </c>
      <c r="W95" s="49">
        <f t="shared" si="109"/>
        <v>840009401</v>
      </c>
      <c r="X95" s="49">
        <f t="shared" si="109"/>
        <v>845479035</v>
      </c>
      <c r="Y95" s="49">
        <f t="shared" si="109"/>
        <v>850984285</v>
      </c>
      <c r="Z95" s="49">
        <f t="shared" si="109"/>
        <v>856525381</v>
      </c>
      <c r="AA95" s="49">
        <f t="shared" si="109"/>
        <v>862102557</v>
      </c>
      <c r="AB95" s="49">
        <f t="shared" si="109"/>
        <v>867716049</v>
      </c>
      <c r="AC95" s="49">
        <f t="shared" si="109"/>
        <v>873366093</v>
      </c>
    </row>
    <row r="96" spans="1:29" s="28" customFormat="1" x14ac:dyDescent="0.3">
      <c r="A96" s="93" t="s">
        <v>170</v>
      </c>
      <c r="B96" s="46">
        <f t="shared" ref="B96:AC96" si="110">ROUND(B88*(1-$D$73),0)</f>
        <v>231875385</v>
      </c>
      <c r="C96" s="49">
        <f t="shared" si="110"/>
        <v>234257781</v>
      </c>
      <c r="D96" s="49">
        <f t="shared" si="110"/>
        <v>236640176</v>
      </c>
      <c r="E96" s="49">
        <f t="shared" si="110"/>
        <v>239022572</v>
      </c>
      <c r="F96" s="49">
        <f t="shared" si="110"/>
        <v>241404967</v>
      </c>
      <c r="G96" s="49">
        <f t="shared" si="110"/>
        <v>243787363</v>
      </c>
      <c r="H96" s="49">
        <f t="shared" si="110"/>
        <v>246169758</v>
      </c>
      <c r="I96" s="49">
        <f t="shared" si="110"/>
        <v>248552154</v>
      </c>
      <c r="J96" s="49">
        <f t="shared" si="110"/>
        <v>250934549</v>
      </c>
      <c r="K96" s="49">
        <f t="shared" si="110"/>
        <v>253316945</v>
      </c>
      <c r="L96" s="49">
        <f t="shared" si="110"/>
        <v>255699340</v>
      </c>
      <c r="M96" s="49">
        <f t="shared" si="110"/>
        <v>258081736</v>
      </c>
      <c r="N96" s="49">
        <f t="shared" si="110"/>
        <v>260464132</v>
      </c>
      <c r="O96" s="49">
        <f t="shared" si="110"/>
        <v>262846527</v>
      </c>
      <c r="P96" s="49">
        <f t="shared" si="110"/>
        <v>265228923</v>
      </c>
      <c r="Q96" s="49">
        <f t="shared" si="110"/>
        <v>267611318</v>
      </c>
      <c r="R96" s="49">
        <f t="shared" si="110"/>
        <v>269993714</v>
      </c>
      <c r="S96" s="49">
        <f t="shared" si="110"/>
        <v>272376109</v>
      </c>
      <c r="T96" s="49">
        <f t="shared" si="110"/>
        <v>274955362</v>
      </c>
      <c r="U96" s="49">
        <f t="shared" si="110"/>
        <v>277559039</v>
      </c>
      <c r="V96" s="49">
        <f t="shared" si="110"/>
        <v>280187371</v>
      </c>
      <c r="W96" s="49">
        <f t="shared" si="110"/>
        <v>282840592</v>
      </c>
      <c r="X96" s="49">
        <f t="shared" si="110"/>
        <v>285518938</v>
      </c>
      <c r="Y96" s="49">
        <f t="shared" si="110"/>
        <v>288222646</v>
      </c>
      <c r="Z96" s="49">
        <f t="shared" si="110"/>
        <v>290951956</v>
      </c>
      <c r="AA96" s="49">
        <f t="shared" si="110"/>
        <v>293707112</v>
      </c>
      <c r="AB96" s="49">
        <f t="shared" si="110"/>
        <v>296488358</v>
      </c>
      <c r="AC96" s="49">
        <f t="shared" si="110"/>
        <v>299295940</v>
      </c>
    </row>
    <row r="97" spans="1:36" s="28" customFormat="1" x14ac:dyDescent="0.3">
      <c r="A97" s="93" t="s">
        <v>171</v>
      </c>
      <c r="B97" s="46">
        <f t="shared" ref="B97:AC97" si="111">ROUND(B89*(1-$D$73),0)</f>
        <v>23278249</v>
      </c>
      <c r="C97" s="49">
        <f t="shared" si="111"/>
        <v>23440601</v>
      </c>
      <c r="D97" s="49">
        <f t="shared" si="111"/>
        <v>23602953</v>
      </c>
      <c r="E97" s="49">
        <f t="shared" si="111"/>
        <v>23765306</v>
      </c>
      <c r="F97" s="49">
        <f t="shared" si="111"/>
        <v>23927658</v>
      </c>
      <c r="G97" s="49">
        <f t="shared" si="111"/>
        <v>24090011</v>
      </c>
      <c r="H97" s="49">
        <f t="shared" si="111"/>
        <v>24252363</v>
      </c>
      <c r="I97" s="49">
        <f t="shared" si="111"/>
        <v>24414716</v>
      </c>
      <c r="J97" s="49">
        <f t="shared" si="111"/>
        <v>24577068</v>
      </c>
      <c r="K97" s="49">
        <f t="shared" si="111"/>
        <v>24739421</v>
      </c>
      <c r="L97" s="49">
        <f t="shared" si="111"/>
        <v>24901773</v>
      </c>
      <c r="M97" s="49">
        <f t="shared" si="111"/>
        <v>25064125</v>
      </c>
      <c r="N97" s="49">
        <f t="shared" si="111"/>
        <v>25226478</v>
      </c>
      <c r="O97" s="49">
        <f t="shared" si="111"/>
        <v>25388830</v>
      </c>
      <c r="P97" s="49">
        <f t="shared" si="111"/>
        <v>25551183</v>
      </c>
      <c r="Q97" s="49">
        <f t="shared" si="111"/>
        <v>25713535</v>
      </c>
      <c r="R97" s="49">
        <f t="shared" si="111"/>
        <v>25875888</v>
      </c>
      <c r="S97" s="49">
        <f t="shared" si="111"/>
        <v>26038240</v>
      </c>
      <c r="T97" s="49">
        <f t="shared" si="111"/>
        <v>26207620</v>
      </c>
      <c r="U97" s="49">
        <f t="shared" si="111"/>
        <v>26378103</v>
      </c>
      <c r="V97" s="49">
        <f t="shared" si="111"/>
        <v>26549694</v>
      </c>
      <c r="W97" s="49">
        <f t="shared" si="111"/>
        <v>26722401</v>
      </c>
      <c r="X97" s="49">
        <f t="shared" si="111"/>
        <v>26896232</v>
      </c>
      <c r="Y97" s="49">
        <f t="shared" si="111"/>
        <v>27071194</v>
      </c>
      <c r="Z97" s="49">
        <f t="shared" si="111"/>
        <v>27247293</v>
      </c>
      <c r="AA97" s="49">
        <f t="shared" si="111"/>
        <v>27424539</v>
      </c>
      <c r="AB97" s="49">
        <f t="shared" si="111"/>
        <v>27602937</v>
      </c>
      <c r="AC97" s="49">
        <f t="shared" si="111"/>
        <v>27782496</v>
      </c>
    </row>
    <row r="98" spans="1:36" s="28" customFormat="1" x14ac:dyDescent="0.3">
      <c r="A98" s="93" t="s">
        <v>172</v>
      </c>
      <c r="B98" s="46">
        <f t="shared" ref="B98:AC98" si="112">ROUND(B90*(1-$D$73),0)</f>
        <v>106402591</v>
      </c>
      <c r="C98" s="49">
        <f t="shared" si="112"/>
        <v>106944844</v>
      </c>
      <c r="D98" s="49">
        <f t="shared" si="112"/>
        <v>107487098</v>
      </c>
      <c r="E98" s="49">
        <f t="shared" si="112"/>
        <v>108029351</v>
      </c>
      <c r="F98" s="49">
        <f t="shared" si="112"/>
        <v>108571604</v>
      </c>
      <c r="G98" s="49">
        <f t="shared" si="112"/>
        <v>109113857</v>
      </c>
      <c r="H98" s="49">
        <f t="shared" si="112"/>
        <v>109656110</v>
      </c>
      <c r="I98" s="49">
        <f t="shared" si="112"/>
        <v>110198364</v>
      </c>
      <c r="J98" s="49">
        <f t="shared" si="112"/>
        <v>110740617</v>
      </c>
      <c r="K98" s="49">
        <f t="shared" si="112"/>
        <v>111282870</v>
      </c>
      <c r="L98" s="49">
        <f t="shared" si="112"/>
        <v>111825123</v>
      </c>
      <c r="M98" s="49">
        <f t="shared" si="112"/>
        <v>112367376</v>
      </c>
      <c r="N98" s="49">
        <f t="shared" si="112"/>
        <v>112909629</v>
      </c>
      <c r="O98" s="49">
        <f t="shared" si="112"/>
        <v>113451883</v>
      </c>
      <c r="P98" s="49">
        <f t="shared" si="112"/>
        <v>113994136</v>
      </c>
      <c r="Q98" s="49">
        <f t="shared" si="112"/>
        <v>114536389</v>
      </c>
      <c r="R98" s="49">
        <f t="shared" si="112"/>
        <v>115078642</v>
      </c>
      <c r="S98" s="49">
        <f t="shared" si="112"/>
        <v>115620895</v>
      </c>
      <c r="T98" s="49">
        <f t="shared" si="112"/>
        <v>116174479</v>
      </c>
      <c r="U98" s="49">
        <f t="shared" si="112"/>
        <v>116730713</v>
      </c>
      <c r="V98" s="49">
        <f t="shared" si="112"/>
        <v>117289610</v>
      </c>
      <c r="W98" s="49">
        <f t="shared" si="112"/>
        <v>117851183</v>
      </c>
      <c r="X98" s="49">
        <f t="shared" si="112"/>
        <v>118415444</v>
      </c>
      <c r="Y98" s="49">
        <f t="shared" si="112"/>
        <v>118982408</v>
      </c>
      <c r="Z98" s="49">
        <f t="shared" si="112"/>
        <v>119552086</v>
      </c>
      <c r="AA98" s="49">
        <f t="shared" si="112"/>
        <v>120124491</v>
      </c>
      <c r="AB98" s="49">
        <f t="shared" si="112"/>
        <v>120699637</v>
      </c>
      <c r="AC98" s="49">
        <f t="shared" si="112"/>
        <v>121277537</v>
      </c>
    </row>
    <row r="99" spans="1:36" s="28" customFormat="1" x14ac:dyDescent="0.3">
      <c r="A99" s="93" t="s">
        <v>702</v>
      </c>
      <c r="B99" s="46">
        <f>ROUND(B91*(1-$D$73),0)</f>
        <v>524711021</v>
      </c>
      <c r="C99" s="49">
        <f t="shared" ref="C99:AC99" si="113">ROUND(C91*(1-$D$73),0)</f>
        <v>528374241</v>
      </c>
      <c r="D99" s="49">
        <f t="shared" si="113"/>
        <v>532037461</v>
      </c>
      <c r="E99" s="49">
        <f t="shared" si="113"/>
        <v>535700681</v>
      </c>
      <c r="F99" s="49">
        <f t="shared" si="113"/>
        <v>539363900</v>
      </c>
      <c r="G99" s="49">
        <f t="shared" si="113"/>
        <v>543027120</v>
      </c>
      <c r="H99" s="49">
        <f t="shared" si="113"/>
        <v>546690340</v>
      </c>
      <c r="I99" s="49">
        <f t="shared" si="113"/>
        <v>550353560</v>
      </c>
      <c r="J99" s="49">
        <f t="shared" si="113"/>
        <v>554016779</v>
      </c>
      <c r="K99" s="49">
        <f t="shared" si="113"/>
        <v>557679999</v>
      </c>
      <c r="L99" s="49">
        <f t="shared" si="113"/>
        <v>561343219</v>
      </c>
      <c r="M99" s="49">
        <f t="shared" si="113"/>
        <v>565006439</v>
      </c>
      <c r="N99" s="49">
        <f t="shared" si="113"/>
        <v>568669659</v>
      </c>
      <c r="O99" s="49">
        <f t="shared" si="113"/>
        <v>572332878</v>
      </c>
      <c r="P99" s="49">
        <f t="shared" si="113"/>
        <v>575996098</v>
      </c>
      <c r="Q99" s="49">
        <f t="shared" si="113"/>
        <v>579659318</v>
      </c>
      <c r="R99" s="49">
        <f t="shared" si="113"/>
        <v>583322538</v>
      </c>
      <c r="S99" s="49">
        <f t="shared" si="113"/>
        <v>586985757</v>
      </c>
      <c r="T99" s="49">
        <f t="shared" si="113"/>
        <v>590807854</v>
      </c>
      <c r="U99" s="49">
        <f t="shared" si="113"/>
        <v>594654839</v>
      </c>
      <c r="V99" s="49">
        <f t="shared" si="113"/>
        <v>598526872</v>
      </c>
      <c r="W99" s="49">
        <f t="shared" si="113"/>
        <v>602424118</v>
      </c>
      <c r="X99" s="49">
        <f t="shared" si="113"/>
        <v>606346741</v>
      </c>
      <c r="Y99" s="49">
        <f t="shared" si="113"/>
        <v>610294905</v>
      </c>
      <c r="Z99" s="49">
        <f t="shared" si="113"/>
        <v>614268777</v>
      </c>
      <c r="AA99" s="49">
        <f t="shared" si="113"/>
        <v>618268525</v>
      </c>
      <c r="AB99" s="49">
        <f t="shared" si="113"/>
        <v>622294317</v>
      </c>
      <c r="AC99" s="49">
        <f t="shared" si="113"/>
        <v>626346322</v>
      </c>
    </row>
    <row r="100" spans="1:36" s="28" customFormat="1" x14ac:dyDescent="0.3">
      <c r="A100" s="93" t="s">
        <v>68</v>
      </c>
      <c r="B100" s="49">
        <f>B99</f>
        <v>524711021</v>
      </c>
      <c r="C100" s="49">
        <f t="shared" ref="C100:AC100" si="114">C99</f>
        <v>528374241</v>
      </c>
      <c r="D100" s="49">
        <f t="shared" si="114"/>
        <v>532037461</v>
      </c>
      <c r="E100" s="49">
        <f t="shared" si="114"/>
        <v>535700681</v>
      </c>
      <c r="F100" s="49">
        <f t="shared" si="114"/>
        <v>539363900</v>
      </c>
      <c r="G100" s="49">
        <f t="shared" si="114"/>
        <v>543027120</v>
      </c>
      <c r="H100" s="49">
        <f t="shared" si="114"/>
        <v>546690340</v>
      </c>
      <c r="I100" s="49">
        <f t="shared" si="114"/>
        <v>550353560</v>
      </c>
      <c r="J100" s="49">
        <f t="shared" si="114"/>
        <v>554016779</v>
      </c>
      <c r="K100" s="49">
        <f t="shared" si="114"/>
        <v>557679999</v>
      </c>
      <c r="L100" s="49">
        <f t="shared" si="114"/>
        <v>561343219</v>
      </c>
      <c r="M100" s="49">
        <f t="shared" si="114"/>
        <v>565006439</v>
      </c>
      <c r="N100" s="49">
        <f t="shared" si="114"/>
        <v>568669659</v>
      </c>
      <c r="O100" s="49">
        <f t="shared" si="114"/>
        <v>572332878</v>
      </c>
      <c r="P100" s="49">
        <f t="shared" si="114"/>
        <v>575996098</v>
      </c>
      <c r="Q100" s="49">
        <f t="shared" si="114"/>
        <v>579659318</v>
      </c>
      <c r="R100" s="49">
        <f t="shared" si="114"/>
        <v>583322538</v>
      </c>
      <c r="S100" s="49">
        <f t="shared" si="114"/>
        <v>586985757</v>
      </c>
      <c r="T100" s="49">
        <f t="shared" si="114"/>
        <v>590807854</v>
      </c>
      <c r="U100" s="49">
        <f t="shared" si="114"/>
        <v>594654839</v>
      </c>
      <c r="V100" s="49">
        <f t="shared" si="114"/>
        <v>598526872</v>
      </c>
      <c r="W100" s="49">
        <f t="shared" si="114"/>
        <v>602424118</v>
      </c>
      <c r="X100" s="49">
        <f t="shared" si="114"/>
        <v>606346741</v>
      </c>
      <c r="Y100" s="49">
        <f t="shared" si="114"/>
        <v>610294905</v>
      </c>
      <c r="Z100" s="49">
        <f t="shared" si="114"/>
        <v>614268777</v>
      </c>
      <c r="AA100" s="49">
        <f t="shared" si="114"/>
        <v>618268525</v>
      </c>
      <c r="AB100" s="49">
        <f t="shared" si="114"/>
        <v>622294317</v>
      </c>
      <c r="AC100" s="49">
        <f t="shared" si="114"/>
        <v>626346322</v>
      </c>
    </row>
    <row r="101" spans="1:36" s="28" customFormat="1" x14ac:dyDescent="0.3">
      <c r="A101" s="338"/>
      <c r="B101" s="338"/>
      <c r="C101" s="339"/>
      <c r="D101" s="339"/>
      <c r="E101" s="339"/>
      <c r="F101" s="339"/>
      <c r="G101" s="339"/>
      <c r="H101" s="339"/>
      <c r="I101" s="339"/>
      <c r="J101" s="339"/>
      <c r="K101" s="339"/>
      <c r="L101" s="339"/>
      <c r="M101" s="339"/>
      <c r="N101" s="339"/>
      <c r="O101" s="339"/>
      <c r="P101" s="339"/>
      <c r="Q101" s="339"/>
      <c r="R101" s="339"/>
      <c r="S101" s="339"/>
      <c r="T101" s="339"/>
      <c r="U101" s="339"/>
      <c r="V101" s="339"/>
      <c r="W101" s="339"/>
      <c r="X101" s="339"/>
      <c r="Y101" s="339"/>
      <c r="Z101" s="339"/>
      <c r="AA101" s="339"/>
      <c r="AB101" s="339"/>
      <c r="AC101" s="339"/>
    </row>
    <row r="102" spans="1:36" ht="26.4" x14ac:dyDescent="0.9">
      <c r="A102" s="214" t="s">
        <v>57</v>
      </c>
      <c r="B102" s="215"/>
      <c r="C102" s="215"/>
      <c r="D102" s="215"/>
      <c r="E102" s="215"/>
      <c r="F102" s="215"/>
      <c r="G102" s="215"/>
      <c r="H102" s="215"/>
      <c r="I102" s="215"/>
      <c r="J102" s="215"/>
      <c r="K102" s="215"/>
      <c r="L102" s="215"/>
      <c r="M102" s="215"/>
      <c r="N102" s="215"/>
      <c r="O102" s="215"/>
      <c r="P102" s="215"/>
      <c r="Q102" s="215"/>
      <c r="R102" s="215"/>
      <c r="S102" s="215"/>
      <c r="T102" s="215"/>
      <c r="U102" s="215"/>
      <c r="V102" s="215"/>
      <c r="W102" s="215"/>
      <c r="X102" s="215"/>
      <c r="Y102" s="215"/>
      <c r="Z102" s="215"/>
      <c r="AA102" s="215"/>
      <c r="AB102" s="215"/>
      <c r="AC102" s="215"/>
      <c r="AD102" s="215"/>
      <c r="AE102" s="215"/>
      <c r="AF102" s="215"/>
      <c r="AG102" s="215"/>
      <c r="AH102" s="215"/>
      <c r="AI102" s="215"/>
      <c r="AJ102" s="216"/>
    </row>
    <row r="103" spans="1:36" ht="24" x14ac:dyDescent="0.85">
      <c r="A103" s="201" t="s">
        <v>36</v>
      </c>
      <c r="B103" s="202"/>
      <c r="C103" s="202"/>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3"/>
    </row>
    <row r="104" spans="1:36" s="205" customFormat="1" x14ac:dyDescent="0.3">
      <c r="A104" s="541" t="s">
        <v>431</v>
      </c>
      <c r="B104" s="541"/>
      <c r="C104" s="541"/>
      <c r="D104" s="541"/>
      <c r="E104" s="541"/>
      <c r="F104" s="541"/>
      <c r="G104" s="541"/>
      <c r="H104" s="541"/>
      <c r="I104" s="541"/>
      <c r="J104" s="541"/>
      <c r="K104" s="541"/>
      <c r="L104" s="541"/>
    </row>
    <row r="105" spans="1:36" s="205" customFormat="1" x14ac:dyDescent="0.3">
      <c r="A105" s="541" t="s">
        <v>433</v>
      </c>
      <c r="B105" s="541"/>
      <c r="C105" s="541"/>
      <c r="D105" s="541"/>
      <c r="E105" s="541"/>
      <c r="F105" s="541"/>
      <c r="G105" s="541"/>
      <c r="H105" s="541"/>
      <c r="I105" s="541"/>
      <c r="J105" s="541"/>
      <c r="K105" s="541"/>
      <c r="L105" s="541"/>
    </row>
    <row r="106" spans="1:36" s="205" customFormat="1" x14ac:dyDescent="0.3">
      <c r="A106" s="541" t="s">
        <v>432</v>
      </c>
      <c r="B106" s="541"/>
      <c r="C106" s="541"/>
      <c r="D106" s="541"/>
      <c r="E106" s="541"/>
      <c r="F106" s="541"/>
      <c r="G106" s="541"/>
      <c r="H106" s="541"/>
      <c r="I106" s="541"/>
      <c r="J106" s="541"/>
      <c r="K106" s="541"/>
      <c r="L106" s="541"/>
    </row>
    <row r="107" spans="1:36" s="205" customFormat="1" x14ac:dyDescent="0.3">
      <c r="A107" s="541" t="s">
        <v>683</v>
      </c>
      <c r="B107" s="541"/>
      <c r="C107" s="541"/>
      <c r="D107" s="541"/>
      <c r="E107" s="541"/>
      <c r="F107" s="541"/>
      <c r="G107" s="541"/>
      <c r="H107" s="541"/>
      <c r="I107" s="541"/>
      <c r="J107" s="541"/>
      <c r="K107" s="541"/>
      <c r="L107" s="541"/>
    </row>
    <row r="108" spans="1:36" s="205" customFormat="1" x14ac:dyDescent="0.3">
      <c r="A108" s="541" t="s">
        <v>684</v>
      </c>
      <c r="B108" s="541"/>
      <c r="C108" s="541"/>
      <c r="D108" s="541"/>
      <c r="E108" s="541"/>
      <c r="F108" s="541"/>
      <c r="G108" s="541"/>
      <c r="H108" s="541"/>
      <c r="I108" s="541"/>
      <c r="J108" s="541"/>
      <c r="K108" s="541"/>
      <c r="L108" s="541"/>
    </row>
    <row r="109" spans="1:36" s="205" customFormat="1" x14ac:dyDescent="0.3">
      <c r="A109" s="541" t="s">
        <v>685</v>
      </c>
      <c r="B109" s="541"/>
      <c r="C109" s="541"/>
      <c r="D109" s="541"/>
      <c r="E109" s="541"/>
      <c r="F109" s="541"/>
      <c r="G109" s="541"/>
      <c r="H109" s="541"/>
      <c r="I109" s="541"/>
      <c r="J109" s="541"/>
      <c r="K109" s="541"/>
      <c r="L109" s="541"/>
    </row>
    <row r="110" spans="1:36" s="205" customFormat="1" x14ac:dyDescent="0.3">
      <c r="A110" s="541" t="s">
        <v>686</v>
      </c>
      <c r="B110" s="541"/>
      <c r="C110" s="541"/>
      <c r="D110" s="541"/>
      <c r="E110" s="541"/>
      <c r="F110" s="541"/>
      <c r="G110" s="541"/>
      <c r="H110" s="541"/>
      <c r="I110" s="541"/>
      <c r="J110" s="541"/>
      <c r="K110" s="541"/>
      <c r="L110" s="541"/>
    </row>
    <row r="111" spans="1:36" s="205" customFormat="1" ht="46.35" customHeight="1" x14ac:dyDescent="0.3">
      <c r="A111" s="541" t="s">
        <v>687</v>
      </c>
      <c r="B111" s="541"/>
      <c r="C111" s="541"/>
      <c r="D111" s="541"/>
      <c r="E111" s="541"/>
      <c r="F111" s="541"/>
      <c r="G111" s="541"/>
      <c r="H111" s="541"/>
      <c r="I111" s="541"/>
      <c r="J111" s="541"/>
      <c r="K111" s="541"/>
      <c r="L111" s="541"/>
    </row>
    <row r="112" spans="1:36" ht="24" x14ac:dyDescent="0.85">
      <c r="A112" s="201" t="s">
        <v>437</v>
      </c>
      <c r="B112" s="202"/>
      <c r="C112" s="202"/>
      <c r="D112" s="202"/>
      <c r="E112" s="202"/>
      <c r="F112" s="202"/>
      <c r="G112" s="202"/>
      <c r="H112" s="202"/>
      <c r="I112" s="202"/>
      <c r="J112" s="202"/>
      <c r="K112" s="202"/>
      <c r="L112" s="202"/>
      <c r="M112" s="202"/>
      <c r="N112" s="202"/>
      <c r="O112" s="202"/>
      <c r="P112" s="202"/>
      <c r="Q112" s="202"/>
      <c r="R112" s="202"/>
      <c r="S112" s="202"/>
      <c r="T112" s="202"/>
      <c r="U112" s="202"/>
      <c r="V112" s="202"/>
      <c r="W112" s="202"/>
      <c r="X112" s="202"/>
      <c r="Y112" s="202"/>
      <c r="Z112" s="202"/>
      <c r="AA112" s="202"/>
      <c r="AB112" s="202"/>
      <c r="AC112" s="202"/>
      <c r="AD112" s="202"/>
      <c r="AE112" s="203"/>
    </row>
    <row r="113" spans="1:37" ht="25.35" customHeight="1" x14ac:dyDescent="0.7">
      <c r="A113" s="290"/>
      <c r="B113" s="291">
        <v>2021</v>
      </c>
      <c r="C113" s="291">
        <v>2022</v>
      </c>
      <c r="D113" s="291">
        <v>2023</v>
      </c>
      <c r="E113" s="291">
        <v>2024</v>
      </c>
      <c r="F113" s="291">
        <v>2025</v>
      </c>
      <c r="G113" s="291">
        <v>2026</v>
      </c>
      <c r="H113" s="291">
        <v>2027</v>
      </c>
      <c r="I113" s="291">
        <v>2028</v>
      </c>
      <c r="J113" s="291">
        <v>2029</v>
      </c>
      <c r="K113" s="291">
        <v>2030</v>
      </c>
      <c r="L113" s="291">
        <v>2031</v>
      </c>
      <c r="M113" s="291">
        <v>2032</v>
      </c>
      <c r="N113" s="291">
        <v>2033</v>
      </c>
      <c r="O113" s="291">
        <v>2034</v>
      </c>
      <c r="P113" s="291">
        <v>2035</v>
      </c>
      <c r="Q113" s="291">
        <v>2036</v>
      </c>
      <c r="R113" s="291">
        <v>2037</v>
      </c>
      <c r="S113" s="291">
        <v>2038</v>
      </c>
      <c r="T113" s="291">
        <v>2039</v>
      </c>
      <c r="U113" s="291">
        <v>2040</v>
      </c>
      <c r="V113" s="291">
        <v>2041</v>
      </c>
      <c r="W113" s="291">
        <v>2042</v>
      </c>
      <c r="X113" s="291">
        <v>2043</v>
      </c>
      <c r="Y113" s="291">
        <v>2044</v>
      </c>
      <c r="Z113" s="291">
        <v>2045</v>
      </c>
      <c r="AA113" s="291">
        <v>2046</v>
      </c>
      <c r="AB113" s="291">
        <v>2047</v>
      </c>
      <c r="AC113" s="291">
        <v>2048</v>
      </c>
      <c r="AD113" s="291">
        <v>2049</v>
      </c>
      <c r="AE113" s="2">
        <v>2050</v>
      </c>
    </row>
    <row r="114" spans="1:37" x14ac:dyDescent="0.7">
      <c r="A114" s="180" t="s">
        <v>166</v>
      </c>
      <c r="B114" s="74">
        <v>0.470329</v>
      </c>
      <c r="C114" s="74">
        <v>0.320963</v>
      </c>
      <c r="D114" s="74">
        <v>0.212198</v>
      </c>
      <c r="E114" s="74">
        <v>0.25321100000000002</v>
      </c>
      <c r="F114" s="74">
        <v>0.19822100000000001</v>
      </c>
      <c r="G114" s="74">
        <v>3.3536200000000002E-2</v>
      </c>
      <c r="H114" s="74">
        <v>3.2369200000000001E-2</v>
      </c>
      <c r="I114" s="74">
        <v>3.5530600000000002E-2</v>
      </c>
      <c r="J114" s="75">
        <v>3.8620500000000002E-2</v>
      </c>
      <c r="K114" s="74">
        <v>4.3793100000000001E-2</v>
      </c>
      <c r="L114" s="74">
        <v>4.9798099999999998E-2</v>
      </c>
      <c r="M114" s="74">
        <v>6.1428499999999997E-2</v>
      </c>
      <c r="N114" s="74">
        <v>7.1919800000000006E-2</v>
      </c>
      <c r="O114" s="74">
        <v>8.0375799999999997E-2</v>
      </c>
      <c r="P114" s="74">
        <v>7.6069200000000003E-2</v>
      </c>
      <c r="Q114" s="74">
        <v>8.0572500000000005E-2</v>
      </c>
      <c r="R114" s="74">
        <v>8.5089100000000001E-2</v>
      </c>
      <c r="S114" s="74">
        <v>8.7407700000000005E-2</v>
      </c>
      <c r="T114" s="74">
        <v>9.1423699999999997E-2</v>
      </c>
      <c r="U114" s="74">
        <v>9.7424800000000006E-2</v>
      </c>
      <c r="V114" s="74">
        <v>0.104648</v>
      </c>
      <c r="W114" s="74">
        <v>0.112107</v>
      </c>
      <c r="X114" s="74">
        <v>0.119006</v>
      </c>
      <c r="Y114" s="74">
        <v>0.125669</v>
      </c>
      <c r="Z114" s="74">
        <v>0.129161</v>
      </c>
      <c r="AA114" s="74">
        <v>0.13270699999999999</v>
      </c>
      <c r="AB114" s="74">
        <v>0.13525499999999999</v>
      </c>
      <c r="AC114" s="74">
        <v>0.13644400000000001</v>
      </c>
      <c r="AD114" s="75">
        <v>0.11118599999999999</v>
      </c>
      <c r="AE114" s="76">
        <v>6.4445299999999997E-2</v>
      </c>
    </row>
    <row r="115" spans="1:37" ht="24" x14ac:dyDescent="0.85">
      <c r="A115" s="201" t="s">
        <v>438</v>
      </c>
      <c r="B115" s="202"/>
      <c r="C115" s="202"/>
      <c r="D115" s="202"/>
      <c r="E115" s="202"/>
      <c r="F115" s="202"/>
      <c r="G115" s="202"/>
      <c r="H115" s="202"/>
      <c r="I115" s="202"/>
      <c r="J115" s="202"/>
      <c r="K115" s="202"/>
      <c r="L115" s="202"/>
      <c r="M115" s="202"/>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3"/>
    </row>
    <row r="116" spans="1:37" ht="25.35" customHeight="1" x14ac:dyDescent="0.7">
      <c r="A116" s="290"/>
      <c r="B116" s="291">
        <v>2005</v>
      </c>
      <c r="C116" s="291">
        <v>2019</v>
      </c>
      <c r="D116" s="291">
        <v>2020</v>
      </c>
      <c r="E116" s="291">
        <v>2021</v>
      </c>
      <c r="F116" s="291">
        <v>2022</v>
      </c>
      <c r="G116" s="291">
        <v>2023</v>
      </c>
      <c r="H116" s="291">
        <v>2024</v>
      </c>
      <c r="I116" s="291">
        <v>2025</v>
      </c>
      <c r="J116" s="291">
        <v>2026</v>
      </c>
      <c r="K116" s="291">
        <v>2027</v>
      </c>
      <c r="L116" s="291">
        <v>2028</v>
      </c>
      <c r="M116" s="291">
        <v>2029</v>
      </c>
      <c r="N116" s="291">
        <v>2030</v>
      </c>
      <c r="O116" s="291">
        <v>2031</v>
      </c>
      <c r="P116" s="291">
        <v>2032</v>
      </c>
      <c r="Q116" s="291">
        <v>2033</v>
      </c>
      <c r="R116" s="291">
        <v>2034</v>
      </c>
      <c r="S116" s="291">
        <v>2035</v>
      </c>
      <c r="T116" s="291">
        <v>2036</v>
      </c>
      <c r="U116" s="291">
        <v>2037</v>
      </c>
      <c r="V116" s="291">
        <v>2038</v>
      </c>
      <c r="W116" s="291">
        <v>2039</v>
      </c>
      <c r="X116" s="291">
        <v>2040</v>
      </c>
      <c r="Y116" s="291">
        <v>2041</v>
      </c>
      <c r="Z116" s="291">
        <v>2042</v>
      </c>
      <c r="AA116" s="291">
        <v>2043</v>
      </c>
      <c r="AB116" s="291">
        <v>2044</v>
      </c>
      <c r="AC116" s="291">
        <v>2045</v>
      </c>
      <c r="AD116" s="291">
        <v>2046</v>
      </c>
      <c r="AE116" s="291">
        <v>2047</v>
      </c>
      <c r="AF116" s="291">
        <v>2048</v>
      </c>
      <c r="AG116" s="291">
        <v>2049</v>
      </c>
      <c r="AH116" s="2">
        <v>2050</v>
      </c>
    </row>
    <row r="117" spans="1:37" x14ac:dyDescent="0.7">
      <c r="A117" s="180" t="s">
        <v>434</v>
      </c>
      <c r="B117" s="179">
        <f>1894/'Emission Factors and Constants'!$A$5</f>
        <v>0.85910497047110168</v>
      </c>
      <c r="C117" s="179">
        <f>1706/'Emission Factors and Constants'!$A$5</f>
        <v>0.77382950349720137</v>
      </c>
      <c r="D117" s="183">
        <f>(($E$117-C117)/($E$116-C116))+C117</f>
        <v>0.74298518565557781</v>
      </c>
      <c r="E117" s="179">
        <f>1570/'Emission Factors and Constants'!$A$5</f>
        <v>0.71214086781395436</v>
      </c>
      <c r="F117" s="179">
        <f>1520/'Emission Factors and Constants'!$A$5</f>
        <v>0.68946122234217233</v>
      </c>
      <c r="G117" s="179">
        <f>1431/'Emission Factors and Constants'!$A$5</f>
        <v>0.64909145340240049</v>
      </c>
      <c r="H117" s="183">
        <f>(($I$117-G117)/($I$116-G116))+G117</f>
        <v>0.64241456577550782</v>
      </c>
      <c r="I117" s="181">
        <f>$B$117*(1-26%)</f>
        <v>0.63573767814861526</v>
      </c>
      <c r="J117" s="181">
        <f>$B$117*(1-36%)</f>
        <v>0.54982718110150508</v>
      </c>
      <c r="K117" s="181">
        <f>$B$117*(1-46%)</f>
        <v>0.46391668405439496</v>
      </c>
      <c r="L117" s="183">
        <f>$N$117-(($N$117-$K$117)/($N$116-$K$116))*($N$116-L116)</f>
        <v>0.36655145406767009</v>
      </c>
      <c r="M117" s="183">
        <f>$N$117-(($N$117-$K$117)/($N$116-$K$116))*($N$116-M116)</f>
        <v>0.26918622408094517</v>
      </c>
      <c r="N117" s="181">
        <f>$B$117*(1-80%)</f>
        <v>0.1718209940942203</v>
      </c>
      <c r="O117" s="183">
        <f>$AH$117-(($AH$117-$N$117)/($AH$116-$N$116))*($AH$116-O116)</f>
        <v>0.16322994438950927</v>
      </c>
      <c r="P117" s="183">
        <f t="shared" ref="P117:AG117" si="115">$AH$117-(($AH$117-$N$117)/($AH$116-$N$116))*($AH$116-P116)</f>
        <v>0.15463889468479827</v>
      </c>
      <c r="Q117" s="183">
        <f t="shared" si="115"/>
        <v>0.14604784498008727</v>
      </c>
      <c r="R117" s="183">
        <f t="shared" si="115"/>
        <v>0.13745679527537624</v>
      </c>
      <c r="S117" s="183">
        <f t="shared" si="115"/>
        <v>0.12886574557066521</v>
      </c>
      <c r="T117" s="183">
        <f t="shared" si="115"/>
        <v>0.12027469586595421</v>
      </c>
      <c r="U117" s="183">
        <f t="shared" si="115"/>
        <v>0.1116836461612432</v>
      </c>
      <c r="V117" s="183">
        <f t="shared" si="115"/>
        <v>0.10309259645653218</v>
      </c>
      <c r="W117" s="183">
        <f t="shared" si="115"/>
        <v>9.4501546751821167E-2</v>
      </c>
      <c r="X117" s="183">
        <f t="shared" si="115"/>
        <v>8.5910497047110151E-2</v>
      </c>
      <c r="Y117" s="183">
        <f t="shared" si="115"/>
        <v>7.7319447342399136E-2</v>
      </c>
      <c r="Z117" s="183">
        <f t="shared" si="115"/>
        <v>6.8728397637688121E-2</v>
      </c>
      <c r="AA117" s="183">
        <f t="shared" si="115"/>
        <v>6.0137347932977106E-2</v>
      </c>
      <c r="AB117" s="183">
        <f t="shared" si="115"/>
        <v>5.1546298228266091E-2</v>
      </c>
      <c r="AC117" s="183">
        <f t="shared" si="115"/>
        <v>4.2955248523555076E-2</v>
      </c>
      <c r="AD117" s="183">
        <f t="shared" si="115"/>
        <v>3.4364198818844061E-2</v>
      </c>
      <c r="AE117" s="183">
        <f t="shared" si="115"/>
        <v>2.5773149114133045E-2</v>
      </c>
      <c r="AF117" s="183">
        <f t="shared" si="115"/>
        <v>1.718209940942203E-2</v>
      </c>
      <c r="AG117" s="183">
        <f t="shared" si="115"/>
        <v>8.5910497047110151E-3</v>
      </c>
      <c r="AH117" s="182">
        <v>0</v>
      </c>
    </row>
    <row r="118" spans="1:37" x14ac:dyDescent="0.7">
      <c r="A118" s="180" t="s">
        <v>427</v>
      </c>
      <c r="B118" s="184">
        <f>B117*1.002</f>
        <v>0.86082318041204386</v>
      </c>
      <c r="C118" s="184">
        <f>C117*1.002</f>
        <v>0.77537716250419575</v>
      </c>
      <c r="D118" s="184">
        <f t="shared" ref="D118:AH118" si="116">D117*1.002</f>
        <v>0.74447115602688896</v>
      </c>
      <c r="E118" s="184">
        <f t="shared" si="116"/>
        <v>0.71356514954958228</v>
      </c>
      <c r="F118" s="184">
        <f t="shared" si="116"/>
        <v>0.69084014478685662</v>
      </c>
      <c r="G118" s="275">
        <f t="shared" si="116"/>
        <v>0.65038963630920532</v>
      </c>
      <c r="H118" s="184">
        <f t="shared" si="116"/>
        <v>0.64369939490705885</v>
      </c>
      <c r="I118" s="184">
        <f t="shared" si="116"/>
        <v>0.6370091535049125</v>
      </c>
      <c r="J118" s="184">
        <f t="shared" si="116"/>
        <v>0.55092683546370813</v>
      </c>
      <c r="K118" s="184">
        <f t="shared" si="116"/>
        <v>0.46484451742250377</v>
      </c>
      <c r="L118" s="184">
        <f t="shared" si="116"/>
        <v>0.36728455697580542</v>
      </c>
      <c r="M118" s="184">
        <f t="shared" si="116"/>
        <v>0.26972459652910707</v>
      </c>
      <c r="N118" s="184">
        <f t="shared" si="116"/>
        <v>0.17216463608240876</v>
      </c>
      <c r="O118" s="184">
        <f t="shared" si="116"/>
        <v>0.1635564042782883</v>
      </c>
      <c r="P118" s="184">
        <f t="shared" si="116"/>
        <v>0.15494817247416787</v>
      </c>
      <c r="Q118" s="184">
        <f t="shared" si="116"/>
        <v>0.14633994067004744</v>
      </c>
      <c r="R118" s="184">
        <f t="shared" si="116"/>
        <v>0.13773170886592701</v>
      </c>
      <c r="S118" s="184">
        <f t="shared" si="116"/>
        <v>0.12912347706180655</v>
      </c>
      <c r="T118" s="184">
        <f t="shared" si="116"/>
        <v>0.12051524525768612</v>
      </c>
      <c r="U118" s="184">
        <f t="shared" si="116"/>
        <v>0.11190701345356568</v>
      </c>
      <c r="V118" s="184">
        <f t="shared" si="116"/>
        <v>0.10329878164944524</v>
      </c>
      <c r="W118" s="184">
        <f t="shared" si="116"/>
        <v>9.4690549845324809E-2</v>
      </c>
      <c r="X118" s="184">
        <f t="shared" si="116"/>
        <v>8.6082318041204378E-2</v>
      </c>
      <c r="Y118" s="184">
        <f t="shared" si="116"/>
        <v>7.7474086237083933E-2</v>
      </c>
      <c r="Z118" s="184">
        <f t="shared" si="116"/>
        <v>6.8865854432963503E-2</v>
      </c>
      <c r="AA118" s="184">
        <f t="shared" si="116"/>
        <v>6.0257622628843058E-2</v>
      </c>
      <c r="AB118" s="184">
        <f t="shared" si="116"/>
        <v>5.164939082472262E-2</v>
      </c>
      <c r="AC118" s="184">
        <f t="shared" si="116"/>
        <v>4.3041159020602189E-2</v>
      </c>
      <c r="AD118" s="184">
        <f t="shared" si="116"/>
        <v>3.4432927216481751E-2</v>
      </c>
      <c r="AE118" s="184">
        <f t="shared" si="116"/>
        <v>2.582469541236131E-2</v>
      </c>
      <c r="AF118" s="184">
        <f t="shared" si="116"/>
        <v>1.7216463608240876E-2</v>
      </c>
      <c r="AG118" s="184">
        <f t="shared" si="116"/>
        <v>8.6082318041204378E-3</v>
      </c>
      <c r="AH118" s="184">
        <f t="shared" si="116"/>
        <v>0</v>
      </c>
    </row>
    <row r="119" spans="1:37" ht="24" x14ac:dyDescent="0.85">
      <c r="A119" s="201" t="s">
        <v>439</v>
      </c>
      <c r="B119" s="202"/>
      <c r="C119" s="202"/>
      <c r="D119" s="202"/>
      <c r="E119" s="202"/>
      <c r="F119" s="202"/>
      <c r="G119" s="202"/>
      <c r="H119" s="202"/>
      <c r="I119" s="202"/>
      <c r="J119" s="202"/>
      <c r="K119" s="202"/>
      <c r="L119" s="202"/>
      <c r="M119" s="202"/>
      <c r="N119" s="202"/>
      <c r="O119" s="202"/>
      <c r="P119" s="202"/>
      <c r="Q119" s="202"/>
      <c r="R119" s="202"/>
      <c r="S119" s="202"/>
      <c r="T119" s="202"/>
      <c r="U119" s="202"/>
      <c r="V119" s="202"/>
      <c r="W119" s="202"/>
      <c r="X119" s="202"/>
      <c r="Y119" s="202"/>
      <c r="Z119" s="202"/>
      <c r="AA119" s="202"/>
      <c r="AB119" s="202"/>
      <c r="AC119" s="202"/>
      <c r="AD119" s="203"/>
    </row>
    <row r="120" spans="1:37" ht="25.35" customHeight="1" x14ac:dyDescent="0.7">
      <c r="A120" s="290"/>
      <c r="B120" s="291">
        <v>2022</v>
      </c>
      <c r="C120" s="291">
        <v>2023</v>
      </c>
      <c r="D120" s="291">
        <v>2024</v>
      </c>
      <c r="E120" s="291">
        <v>2025</v>
      </c>
      <c r="F120" s="291">
        <v>2026</v>
      </c>
      <c r="G120" s="291">
        <v>2027</v>
      </c>
      <c r="H120" s="291">
        <v>2028</v>
      </c>
      <c r="I120" s="291">
        <v>2029</v>
      </c>
      <c r="J120" s="291">
        <v>2030</v>
      </c>
      <c r="K120" s="291">
        <v>2031</v>
      </c>
      <c r="L120" s="291">
        <v>2032</v>
      </c>
      <c r="M120" s="291">
        <v>2033</v>
      </c>
      <c r="N120" s="291">
        <v>2034</v>
      </c>
      <c r="O120" s="291">
        <v>2035</v>
      </c>
      <c r="P120" s="291">
        <v>2036</v>
      </c>
      <c r="Q120" s="291">
        <v>2037</v>
      </c>
      <c r="R120" s="291">
        <v>2038</v>
      </c>
      <c r="S120" s="291">
        <v>2039</v>
      </c>
      <c r="T120" s="291">
        <v>2040</v>
      </c>
      <c r="U120" s="291">
        <v>2041</v>
      </c>
      <c r="V120" s="291">
        <v>2042</v>
      </c>
      <c r="W120" s="291">
        <v>2043</v>
      </c>
      <c r="X120" s="291">
        <v>2044</v>
      </c>
      <c r="Y120" s="291">
        <v>2045</v>
      </c>
      <c r="Z120" s="291">
        <v>2046</v>
      </c>
      <c r="AA120" s="291">
        <v>2047</v>
      </c>
      <c r="AB120" s="291">
        <v>2048</v>
      </c>
      <c r="AC120" s="291">
        <v>2049</v>
      </c>
      <c r="AD120" s="2">
        <v>2050</v>
      </c>
    </row>
    <row r="121" spans="1:37" x14ac:dyDescent="0.7">
      <c r="A121" s="180" t="s">
        <v>435</v>
      </c>
      <c r="B121" s="74">
        <f>903/'Emission Factors and Constants'!$A$5</f>
        <v>0.40959439722038266</v>
      </c>
      <c r="C121" s="74">
        <v>0.25729999999999997</v>
      </c>
      <c r="D121" s="185">
        <f>$L$121-(($L$121-$C$121)/($L$120-$C$120))*($L$120-D120)</f>
        <v>0.23879095354301419</v>
      </c>
      <c r="E121" s="185">
        <f t="shared" ref="E121:K121" si="117">$L$121-(($L$121-$C$121)/($L$120-$C$120))*($L$120-E120)</f>
        <v>0.22028190708602841</v>
      </c>
      <c r="F121" s="185">
        <f t="shared" si="117"/>
        <v>0.20177286062904262</v>
      </c>
      <c r="G121" s="185">
        <f t="shared" si="117"/>
        <v>0.18326381417205684</v>
      </c>
      <c r="H121" s="185">
        <f t="shared" si="117"/>
        <v>0.16475476771507108</v>
      </c>
      <c r="I121" s="185">
        <f t="shared" si="117"/>
        <v>0.14624572125808527</v>
      </c>
      <c r="J121" s="185">
        <f t="shared" si="117"/>
        <v>0.12773667480109951</v>
      </c>
      <c r="K121" s="185">
        <f t="shared" si="117"/>
        <v>0.10922762834411373</v>
      </c>
      <c r="L121" s="74">
        <f>200/'Emission Factors and Constants'!$A$5</f>
        <v>9.0718581887127947E-2</v>
      </c>
      <c r="M121" s="185">
        <f>$T$121-(($T$121-$L$121)/($T$120-$L$120))*($T$120-M120)</f>
        <v>7.9378759151236961E-2</v>
      </c>
      <c r="N121" s="185">
        <f t="shared" ref="N121:S121" si="118">$T$121-(($T$121-$L$121)/($T$120-$L$120))*($T$120-N120)</f>
        <v>6.803893641534596E-2</v>
      </c>
      <c r="O121" s="185">
        <f t="shared" si="118"/>
        <v>5.6699113679454967E-2</v>
      </c>
      <c r="P121" s="185">
        <f t="shared" si="118"/>
        <v>4.5359290943563974E-2</v>
      </c>
      <c r="Q121" s="185">
        <f t="shared" si="118"/>
        <v>3.401946820767298E-2</v>
      </c>
      <c r="R121" s="185">
        <f t="shared" si="118"/>
        <v>2.2679645471781987E-2</v>
      </c>
      <c r="S121" s="185">
        <f t="shared" si="118"/>
        <v>1.1339822735890993E-2</v>
      </c>
      <c r="T121" s="74">
        <v>0</v>
      </c>
      <c r="U121" s="185">
        <f>T121</f>
        <v>0</v>
      </c>
      <c r="V121" s="185">
        <f t="shared" ref="V121:AD121" si="119">U121</f>
        <v>0</v>
      </c>
      <c r="W121" s="185">
        <f t="shared" si="119"/>
        <v>0</v>
      </c>
      <c r="X121" s="185">
        <f t="shared" si="119"/>
        <v>0</v>
      </c>
      <c r="Y121" s="185">
        <f t="shared" si="119"/>
        <v>0</v>
      </c>
      <c r="Z121" s="185">
        <f t="shared" si="119"/>
        <v>0</v>
      </c>
      <c r="AA121" s="185">
        <f t="shared" si="119"/>
        <v>0</v>
      </c>
      <c r="AB121" s="185">
        <f t="shared" si="119"/>
        <v>0</v>
      </c>
      <c r="AC121" s="185">
        <f t="shared" si="119"/>
        <v>0</v>
      </c>
      <c r="AD121" s="185">
        <f t="shared" si="119"/>
        <v>0</v>
      </c>
    </row>
    <row r="122" spans="1:37" x14ac:dyDescent="0.7">
      <c r="A122" s="366" t="s">
        <v>436</v>
      </c>
      <c r="B122" s="367">
        <f>B121*1.002</f>
        <v>0.41041358601482342</v>
      </c>
      <c r="C122" s="367">
        <f t="shared" ref="C122:AD122" si="120">C121*1.002</f>
        <v>0.25781459999999995</v>
      </c>
      <c r="D122" s="367">
        <f t="shared" si="120"/>
        <v>0.23926853545010021</v>
      </c>
      <c r="E122" s="367">
        <f t="shared" si="120"/>
        <v>0.22072247090020047</v>
      </c>
      <c r="F122" s="367">
        <f t="shared" si="120"/>
        <v>0.20217640635030071</v>
      </c>
      <c r="G122" s="367">
        <f t="shared" si="120"/>
        <v>0.18363034180040094</v>
      </c>
      <c r="H122" s="367">
        <f t="shared" si="120"/>
        <v>0.16508427725050123</v>
      </c>
      <c r="I122" s="367">
        <f t="shared" si="120"/>
        <v>0.14653821270060144</v>
      </c>
      <c r="J122" s="367">
        <f t="shared" si="120"/>
        <v>0.1279921481507017</v>
      </c>
      <c r="K122" s="367">
        <f t="shared" si="120"/>
        <v>0.10944608360080196</v>
      </c>
      <c r="L122" s="367">
        <f t="shared" si="120"/>
        <v>9.0900019050902198E-2</v>
      </c>
      <c r="M122" s="367">
        <f t="shared" si="120"/>
        <v>7.953751666953944E-2</v>
      </c>
      <c r="N122" s="367">
        <f t="shared" si="120"/>
        <v>6.8175014288176655E-2</v>
      </c>
      <c r="O122" s="367">
        <f t="shared" si="120"/>
        <v>5.6812511906813877E-2</v>
      </c>
      <c r="P122" s="367">
        <f t="shared" si="120"/>
        <v>4.5450009525451099E-2</v>
      </c>
      <c r="Q122" s="367">
        <f t="shared" si="120"/>
        <v>3.4087507144088328E-2</v>
      </c>
      <c r="R122" s="367">
        <f t="shared" si="120"/>
        <v>2.2725004762725549E-2</v>
      </c>
      <c r="S122" s="367">
        <f t="shared" si="120"/>
        <v>1.1362502381362775E-2</v>
      </c>
      <c r="T122" s="367">
        <f t="shared" si="120"/>
        <v>0</v>
      </c>
      <c r="U122" s="367">
        <f t="shared" si="120"/>
        <v>0</v>
      </c>
      <c r="V122" s="367">
        <f t="shared" si="120"/>
        <v>0</v>
      </c>
      <c r="W122" s="367">
        <f t="shared" si="120"/>
        <v>0</v>
      </c>
      <c r="X122" s="367">
        <f t="shared" si="120"/>
        <v>0</v>
      </c>
      <c r="Y122" s="367">
        <f t="shared" si="120"/>
        <v>0</v>
      </c>
      <c r="Z122" s="367">
        <f t="shared" si="120"/>
        <v>0</v>
      </c>
      <c r="AA122" s="367">
        <f t="shared" si="120"/>
        <v>0</v>
      </c>
      <c r="AB122" s="367">
        <f t="shared" si="120"/>
        <v>0</v>
      </c>
      <c r="AC122" s="367">
        <f t="shared" si="120"/>
        <v>0</v>
      </c>
      <c r="AD122" s="184">
        <f t="shared" si="120"/>
        <v>0</v>
      </c>
    </row>
    <row r="123" spans="1:37" ht="24" x14ac:dyDescent="0.85">
      <c r="A123" s="201" t="s">
        <v>646</v>
      </c>
      <c r="B123" s="202"/>
      <c r="C123" s="202"/>
      <c r="D123" s="202"/>
      <c r="E123" s="202"/>
      <c r="F123" s="202"/>
      <c r="G123" s="202"/>
      <c r="H123" s="202"/>
      <c r="I123" s="202"/>
      <c r="J123" s="202"/>
      <c r="K123" s="202"/>
      <c r="L123" s="202"/>
      <c r="M123" s="202"/>
      <c r="N123" s="202"/>
      <c r="O123" s="202"/>
      <c r="P123" s="202"/>
      <c r="Q123" s="202"/>
      <c r="R123" s="202"/>
      <c r="S123" s="202"/>
      <c r="T123" s="202"/>
      <c r="U123" s="202"/>
      <c r="V123" s="202"/>
      <c r="W123" s="202"/>
      <c r="X123" s="202"/>
      <c r="Y123" s="202"/>
      <c r="Z123" s="202"/>
      <c r="AA123" s="202"/>
      <c r="AB123" s="202"/>
      <c r="AC123" s="203"/>
    </row>
    <row r="124" spans="1:37" ht="25.35" customHeight="1" x14ac:dyDescent="0.7">
      <c r="A124" s="290"/>
      <c r="B124" s="291">
        <v>2023</v>
      </c>
      <c r="C124" s="291">
        <v>2024</v>
      </c>
      <c r="D124" s="291">
        <v>2025</v>
      </c>
      <c r="E124" s="291">
        <v>2026</v>
      </c>
      <c r="F124" s="291">
        <v>2027</v>
      </c>
      <c r="G124" s="291">
        <v>2028</v>
      </c>
      <c r="H124" s="291">
        <v>2029</v>
      </c>
      <c r="I124" s="291">
        <v>2030</v>
      </c>
      <c r="J124" s="291">
        <v>2031</v>
      </c>
      <c r="K124" s="291">
        <v>2032</v>
      </c>
      <c r="L124" s="291">
        <v>2033</v>
      </c>
      <c r="M124" s="291">
        <v>2034</v>
      </c>
      <c r="N124" s="291">
        <v>2035</v>
      </c>
      <c r="O124" s="291">
        <v>2036</v>
      </c>
      <c r="P124" s="291">
        <v>2037</v>
      </c>
      <c r="Q124" s="291">
        <v>2038</v>
      </c>
      <c r="R124" s="291">
        <v>2039</v>
      </c>
      <c r="S124" s="291">
        <v>2040</v>
      </c>
      <c r="T124" s="291">
        <v>2041</v>
      </c>
      <c r="U124" s="291">
        <v>2042</v>
      </c>
      <c r="V124" s="291">
        <v>2043</v>
      </c>
      <c r="W124" s="291">
        <v>2044</v>
      </c>
      <c r="X124" s="291">
        <v>2045</v>
      </c>
      <c r="Y124" s="291">
        <v>2046</v>
      </c>
      <c r="Z124" s="291">
        <v>2047</v>
      </c>
      <c r="AA124" s="291">
        <v>2048</v>
      </c>
      <c r="AB124" s="291">
        <v>2049</v>
      </c>
      <c r="AC124" s="24">
        <v>2050</v>
      </c>
    </row>
    <row r="125" spans="1:37" x14ac:dyDescent="0.7">
      <c r="A125" s="180" t="s">
        <v>436</v>
      </c>
      <c r="B125" s="184">
        <f>C122</f>
        <v>0.25781459999999995</v>
      </c>
      <c r="C125" s="184">
        <f t="shared" ref="C125:AC125" si="121">D122</f>
        <v>0.23926853545010021</v>
      </c>
      <c r="D125" s="184">
        <f t="shared" si="121"/>
        <v>0.22072247090020047</v>
      </c>
      <c r="E125" s="184">
        <f t="shared" si="121"/>
        <v>0.20217640635030071</v>
      </c>
      <c r="F125" s="184">
        <f t="shared" si="121"/>
        <v>0.18363034180040094</v>
      </c>
      <c r="G125" s="184">
        <f t="shared" si="121"/>
        <v>0.16508427725050123</v>
      </c>
      <c r="H125" s="184">
        <f t="shared" si="121"/>
        <v>0.14653821270060144</v>
      </c>
      <c r="I125" s="184">
        <f t="shared" si="121"/>
        <v>0.1279921481507017</v>
      </c>
      <c r="J125" s="184">
        <f t="shared" si="121"/>
        <v>0.10944608360080196</v>
      </c>
      <c r="K125" s="184">
        <f t="shared" si="121"/>
        <v>9.0900019050902198E-2</v>
      </c>
      <c r="L125" s="184">
        <f t="shared" si="121"/>
        <v>7.953751666953944E-2</v>
      </c>
      <c r="M125" s="184">
        <f t="shared" si="121"/>
        <v>6.8175014288176655E-2</v>
      </c>
      <c r="N125" s="184">
        <f t="shared" si="121"/>
        <v>5.6812511906813877E-2</v>
      </c>
      <c r="O125" s="184">
        <f t="shared" si="121"/>
        <v>4.5450009525451099E-2</v>
      </c>
      <c r="P125" s="184">
        <f t="shared" si="121"/>
        <v>3.4087507144088328E-2</v>
      </c>
      <c r="Q125" s="184">
        <f t="shared" si="121"/>
        <v>2.2725004762725549E-2</v>
      </c>
      <c r="R125" s="184">
        <f t="shared" si="121"/>
        <v>1.1362502381362775E-2</v>
      </c>
      <c r="S125" s="184">
        <f t="shared" si="121"/>
        <v>0</v>
      </c>
      <c r="T125" s="184">
        <f t="shared" si="121"/>
        <v>0</v>
      </c>
      <c r="U125" s="184">
        <f t="shared" si="121"/>
        <v>0</v>
      </c>
      <c r="V125" s="184">
        <f t="shared" si="121"/>
        <v>0</v>
      </c>
      <c r="W125" s="184">
        <f t="shared" si="121"/>
        <v>0</v>
      </c>
      <c r="X125" s="184">
        <f t="shared" si="121"/>
        <v>0</v>
      </c>
      <c r="Y125" s="184">
        <f t="shared" si="121"/>
        <v>0</v>
      </c>
      <c r="Z125" s="184">
        <f t="shared" si="121"/>
        <v>0</v>
      </c>
      <c r="AA125" s="184">
        <f t="shared" si="121"/>
        <v>0</v>
      </c>
      <c r="AB125" s="184">
        <f t="shared" si="121"/>
        <v>0</v>
      </c>
      <c r="AC125" s="184">
        <f t="shared" si="121"/>
        <v>0</v>
      </c>
    </row>
    <row r="126" spans="1:37" s="28" customFormat="1" x14ac:dyDescent="0.7">
      <c r="A126" s="539"/>
      <c r="B126" s="539"/>
      <c r="C126" s="539"/>
      <c r="D126" s="539"/>
      <c r="E126" s="539"/>
      <c r="F126" s="539"/>
      <c r="G126" s="539"/>
      <c r="H126" s="539"/>
      <c r="I126" s="539"/>
      <c r="J126" s="539"/>
      <c r="K126" s="539"/>
      <c r="L126" s="539"/>
      <c r="M126" s="30"/>
      <c r="N126" s="45"/>
      <c r="O126" s="45"/>
      <c r="P126" s="45"/>
      <c r="Q126" s="45"/>
      <c r="R126" s="45"/>
      <c r="S126" s="45"/>
      <c r="T126" s="45"/>
      <c r="U126" s="45"/>
      <c r="AD126" s="61"/>
      <c r="AE126" s="61"/>
      <c r="AF126" s="61"/>
      <c r="AG126" s="61"/>
      <c r="AH126" s="61"/>
      <c r="AI126" s="61"/>
      <c r="AJ126" s="61"/>
      <c r="AK126" s="61"/>
    </row>
    <row r="127" spans="1:37" s="16" customFormat="1" ht="25.35" customHeight="1" x14ac:dyDescent="0.9">
      <c r="A127" s="77" t="s">
        <v>519</v>
      </c>
      <c r="B127" s="78"/>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9"/>
      <c r="AG127" s="22"/>
      <c r="AH127" s="22"/>
      <c r="AI127" s="22"/>
      <c r="AJ127" s="22"/>
      <c r="AK127" s="22"/>
    </row>
    <row r="128" spans="1:37" ht="24" x14ac:dyDescent="0.85">
      <c r="A128" s="217" t="s">
        <v>36</v>
      </c>
      <c r="B128" s="218"/>
      <c r="C128" s="218"/>
      <c r="D128" s="218"/>
      <c r="E128" s="218"/>
      <c r="F128" s="218"/>
      <c r="G128" s="218"/>
      <c r="H128" s="218"/>
      <c r="I128" s="218"/>
      <c r="J128" s="218"/>
      <c r="K128" s="218"/>
      <c r="L128" s="218"/>
      <c r="M128" s="218"/>
      <c r="N128" s="218"/>
      <c r="O128" s="218"/>
      <c r="P128" s="218"/>
      <c r="Q128" s="218"/>
      <c r="R128" s="218"/>
      <c r="S128" s="218"/>
      <c r="T128" s="218"/>
      <c r="U128" s="218"/>
      <c r="V128" s="218"/>
      <c r="W128" s="218"/>
      <c r="X128" s="218"/>
      <c r="Y128" s="218"/>
      <c r="Z128" s="218"/>
      <c r="AA128" s="218"/>
      <c r="AB128" s="218"/>
      <c r="AC128" s="218"/>
      <c r="AD128" s="218"/>
      <c r="AE128" s="218"/>
      <c r="AF128" s="219"/>
      <c r="AG128" s="22"/>
      <c r="AH128" s="22"/>
      <c r="AI128" s="22"/>
      <c r="AJ128" s="22"/>
      <c r="AK128" s="22"/>
    </row>
    <row r="129" spans="1:37" s="205" customFormat="1" ht="72.75" customHeight="1" x14ac:dyDescent="0.85">
      <c r="A129" s="540" t="s">
        <v>610</v>
      </c>
      <c r="B129" s="540"/>
      <c r="C129" s="540"/>
      <c r="D129" s="540"/>
      <c r="E129" s="540"/>
      <c r="F129" s="540"/>
      <c r="G129" s="540"/>
      <c r="H129" s="540"/>
      <c r="I129" s="540"/>
      <c r="J129" s="540"/>
      <c r="K129" s="540"/>
      <c r="L129" s="540"/>
      <c r="AG129" s="22"/>
      <c r="AH129" s="22"/>
      <c r="AI129" s="22"/>
      <c r="AJ129" s="22"/>
      <c r="AK129" s="22"/>
    </row>
    <row r="130" spans="1:37" ht="24" x14ac:dyDescent="0.85">
      <c r="A130" s="201" t="s">
        <v>127</v>
      </c>
      <c r="B130" s="202"/>
      <c r="C130" s="202"/>
      <c r="D130" s="202"/>
      <c r="E130" s="202"/>
      <c r="F130" s="202"/>
      <c r="G130" s="202"/>
      <c r="H130" s="202"/>
      <c r="I130" s="202"/>
      <c r="J130" s="202"/>
      <c r="K130" s="202"/>
      <c r="L130" s="202"/>
      <c r="M130" s="202"/>
      <c r="N130" s="202"/>
      <c r="O130" s="202"/>
      <c r="P130" s="202"/>
      <c r="Q130" s="202"/>
      <c r="R130" s="202"/>
      <c r="S130" s="202"/>
      <c r="T130" s="202"/>
      <c r="U130" s="202"/>
      <c r="V130" s="202"/>
      <c r="W130" s="202"/>
      <c r="X130" s="202"/>
      <c r="Y130" s="202"/>
      <c r="Z130" s="202"/>
      <c r="AA130" s="202"/>
      <c r="AB130" s="202"/>
      <c r="AC130" s="202"/>
      <c r="AD130" s="202"/>
      <c r="AE130" s="202"/>
      <c r="AF130" s="203"/>
      <c r="AG130" s="22"/>
      <c r="AH130" s="22"/>
      <c r="AI130" s="22"/>
      <c r="AJ130" s="22"/>
      <c r="AK130" s="22"/>
    </row>
    <row r="131" spans="1:37" s="22" customFormat="1" ht="25.35" customHeight="1" x14ac:dyDescent="0.85">
      <c r="A131" s="2" t="s">
        <v>97</v>
      </c>
      <c r="B131" s="2">
        <v>2020</v>
      </c>
      <c r="C131" s="2">
        <v>2021</v>
      </c>
      <c r="D131" s="2">
        <v>2022</v>
      </c>
      <c r="E131" s="2">
        <v>2023</v>
      </c>
      <c r="F131" s="2">
        <v>2024</v>
      </c>
      <c r="G131" s="2">
        <v>2025</v>
      </c>
      <c r="H131" s="2">
        <v>2026</v>
      </c>
      <c r="I131" s="2">
        <v>2027</v>
      </c>
      <c r="J131" s="2">
        <v>2028</v>
      </c>
      <c r="K131" s="2">
        <v>2029</v>
      </c>
      <c r="L131" s="2">
        <v>2030</v>
      </c>
      <c r="M131" s="2">
        <v>2031</v>
      </c>
      <c r="N131" s="2">
        <v>2032</v>
      </c>
      <c r="O131" s="2">
        <v>2033</v>
      </c>
      <c r="P131" s="2">
        <v>2034</v>
      </c>
      <c r="Q131" s="2">
        <v>2035</v>
      </c>
      <c r="R131" s="2">
        <v>2036</v>
      </c>
      <c r="S131" s="2">
        <v>2037</v>
      </c>
      <c r="T131" s="2">
        <v>2038</v>
      </c>
      <c r="U131" s="2">
        <v>2039</v>
      </c>
      <c r="V131" s="2">
        <v>2040</v>
      </c>
      <c r="W131" s="2">
        <v>2041</v>
      </c>
      <c r="X131" s="2">
        <v>2042</v>
      </c>
      <c r="Y131" s="2">
        <v>2043</v>
      </c>
      <c r="Z131" s="2">
        <v>2044</v>
      </c>
      <c r="AA131" s="2">
        <v>2045</v>
      </c>
      <c r="AB131" s="2">
        <v>2046</v>
      </c>
      <c r="AC131" s="2">
        <v>2047</v>
      </c>
      <c r="AD131" s="2">
        <v>2048</v>
      </c>
      <c r="AE131" s="2">
        <v>2049</v>
      </c>
      <c r="AF131" s="2">
        <v>2050</v>
      </c>
    </row>
    <row r="132" spans="1:37" s="33" customFormat="1" ht="24" x14ac:dyDescent="0.85">
      <c r="A132" s="96" t="s">
        <v>158</v>
      </c>
      <c r="B132" s="46">
        <v>3977</v>
      </c>
      <c r="C132" s="49">
        <f>$B$132-($B$132-$G$132)/($B$131-$G$131)*($B$131-C131)</f>
        <v>3971</v>
      </c>
      <c r="D132" s="49">
        <f>$B$132-($B$132-$G$132)/($B$131-$G$131)*($B$131-D131)</f>
        <v>3965</v>
      </c>
      <c r="E132" s="49">
        <f>$B$132-($B$132-$G$132)/($B$131-$G$131)*($B$131-E131)</f>
        <v>3959</v>
      </c>
      <c r="F132" s="49">
        <f>$B$132-($B$132-$G$132)/($B$131-$G$131)*($B$131-F131)</f>
        <v>3953</v>
      </c>
      <c r="G132" s="46">
        <v>3947</v>
      </c>
      <c r="H132" s="49">
        <f>$G$132-($G$132-$L$132)/($G$131-$L$131)*($G$131-H131)</f>
        <v>3931.8</v>
      </c>
      <c r="I132" s="49">
        <f>$G$132-($G$132-$L$132)/($G$131-$L$131)*($G$131-I131)</f>
        <v>3916.6</v>
      </c>
      <c r="J132" s="49">
        <f>$G$132-($G$132-$L$132)/($G$131-$L$131)*($G$131-J131)</f>
        <v>3901.4</v>
      </c>
      <c r="K132" s="49">
        <f>$G$132-($G$132-$L$132)/($G$131-$L$131)*($G$131-K131)</f>
        <v>3886.2</v>
      </c>
      <c r="L132" s="46">
        <v>3871</v>
      </c>
      <c r="M132" s="49">
        <f>$L$132-($L$132-$Q$132)/($L$131-$Q$131)*($L$131-M131)</f>
        <v>3879.8</v>
      </c>
      <c r="N132" s="49">
        <f>$L$132-($L$132-$Q$132)/($L$131-$Q$131)*($L$131-N131)</f>
        <v>3888.6</v>
      </c>
      <c r="O132" s="49">
        <f>$L$132-($L$132-$Q$132)/($L$131-$Q$131)*($L$131-O131)</f>
        <v>3897.4</v>
      </c>
      <c r="P132" s="49">
        <f>$L$132-($L$132-$Q$132)/($L$131-$Q$131)*($L$131-P131)</f>
        <v>3906.2</v>
      </c>
      <c r="Q132" s="46">
        <v>3915</v>
      </c>
      <c r="R132" s="49">
        <f>$Q$132-($Q$132-$V$132)/($Q$131-$V$131)*($Q$131-R131)</f>
        <v>3906.8</v>
      </c>
      <c r="S132" s="49">
        <f>$Q$132-($Q$132-$V$132)/($Q$131-$V$131)*($Q$131-S131)</f>
        <v>3898.6</v>
      </c>
      <c r="T132" s="49">
        <f>$Q$132-($Q$132-$V$132)/($Q$131-$V$131)*($Q$131-T131)</f>
        <v>3890.4</v>
      </c>
      <c r="U132" s="49">
        <f>$Q$132-($Q$132-$V$132)/($Q$131-$V$131)*($Q$131-U131)</f>
        <v>3882.2</v>
      </c>
      <c r="V132" s="46">
        <v>3874</v>
      </c>
      <c r="W132" s="49">
        <f>$V$132-($V$132-$AA$132)/($V$131-$AA$131)*($V$131-W131)</f>
        <v>3830.8</v>
      </c>
      <c r="X132" s="49">
        <f>$V$132-($V$132-$AA$132)/($V$131-$AA$131)*($V$131-X131)</f>
        <v>3787.6</v>
      </c>
      <c r="Y132" s="49">
        <f>$V$132-($V$132-$AA$132)/($V$131-$AA$131)*($V$131-Y131)</f>
        <v>3744.4</v>
      </c>
      <c r="Z132" s="49">
        <f>$V$132-($V$132-$AA$132)/($V$131-$AA$131)*($V$131-Z131)</f>
        <v>3701.2</v>
      </c>
      <c r="AA132" s="46">
        <v>3658</v>
      </c>
      <c r="AB132" s="49">
        <f>$AA$132-($AA$132-$AF$132)/($AA$131-$AF$131)*($AA$131-AB131)</f>
        <v>3645.8</v>
      </c>
      <c r="AC132" s="49">
        <f>$AA$132-($AA$132-$AF$132)/($AA$131-$AF$131)*($AA$131-AC131)</f>
        <v>3633.6</v>
      </c>
      <c r="AD132" s="49">
        <f>$AA$132-($AA$132-$AF$132)/($AA$131-$AF$131)*($AA$131-AD131)</f>
        <v>3621.4</v>
      </c>
      <c r="AE132" s="49">
        <f>$AA$132-($AA$132-$AF$132)/($AA$131-$AF$131)*($AA$131-AE131)</f>
        <v>3609.2</v>
      </c>
      <c r="AF132" s="46">
        <v>3597</v>
      </c>
      <c r="AG132" s="22"/>
      <c r="AH132" s="22"/>
      <c r="AI132" s="22"/>
      <c r="AJ132" s="22"/>
      <c r="AK132" s="22"/>
    </row>
    <row r="133" spans="1:37" s="33" customFormat="1" ht="24" x14ac:dyDescent="0.85">
      <c r="A133" s="96" t="s">
        <v>159</v>
      </c>
      <c r="B133" s="46">
        <v>4236</v>
      </c>
      <c r="C133" s="49">
        <f>$B$133-($B$133-$G$133)/($B$131-$G$131)*($B$131-C131)</f>
        <v>4232.2</v>
      </c>
      <c r="D133" s="49">
        <f>$B$133-($B$133-$G$133)/($B$131-$G$131)*($B$131-D131)</f>
        <v>4228.3999999999996</v>
      </c>
      <c r="E133" s="49">
        <f>$B$133-($B$133-$G$133)/($B$131-$G$131)*($B$131-E131)</f>
        <v>4224.6000000000004</v>
      </c>
      <c r="F133" s="49">
        <f>$B$133-($B$133-$G$133)/($B$131-$G$131)*($B$131-F131)</f>
        <v>4220.8</v>
      </c>
      <c r="G133" s="46">
        <v>4217</v>
      </c>
      <c r="H133" s="49">
        <f>$G$133-($G$133-$L$133)/($G$131-$L$131)*($G$131-H131)</f>
        <v>4200</v>
      </c>
      <c r="I133" s="49">
        <f>$G$133-($G$133-$L$133)/($G$131-$L$131)*($G$131-I131)</f>
        <v>4183</v>
      </c>
      <c r="J133" s="49">
        <f>$G$133-($G$133-$L$133)/($G$131-$L$131)*($G$131-J131)</f>
        <v>4166</v>
      </c>
      <c r="K133" s="49">
        <f>$G$133-($G$133-$L$133)/($G$131-$L$131)*($G$131-K131)</f>
        <v>4149</v>
      </c>
      <c r="L133" s="46">
        <v>4132</v>
      </c>
      <c r="M133" s="49">
        <f>$L$133-($L$133-$Q$133)/($L$131-$Q$131)*($L$131-M131)</f>
        <v>4141.3999999999996</v>
      </c>
      <c r="N133" s="49">
        <f>$L$133-($L$133-$Q$133)/($L$131-$Q$131)*($L$131-N131)</f>
        <v>4150.8</v>
      </c>
      <c r="O133" s="49">
        <f>$L$133-($L$133-$Q$133)/($L$131-$Q$131)*($L$131-O131)</f>
        <v>4160.2</v>
      </c>
      <c r="P133" s="49">
        <f>$L$133-($L$133-$Q$133)/($L$131-$Q$131)*($L$131-P131)</f>
        <v>4169.6000000000004</v>
      </c>
      <c r="Q133" s="46">
        <v>4179</v>
      </c>
      <c r="R133" s="49">
        <f>$Q$133-($Q$133-$V$133)/($Q$131-$V$131)*($Q$131-R131)</f>
        <v>4169</v>
      </c>
      <c r="S133" s="49">
        <f>$Q$133-($Q$133-$V$133)/($Q$131-$V$131)*($Q$131-S131)</f>
        <v>4159</v>
      </c>
      <c r="T133" s="49">
        <f>$Q$133-($Q$133-$V$133)/($Q$131-$V$131)*($Q$131-T131)</f>
        <v>4149</v>
      </c>
      <c r="U133" s="49">
        <f>$Q$133-($Q$133-$V$133)/($Q$131-$V$131)*($Q$131-U131)</f>
        <v>4139</v>
      </c>
      <c r="V133" s="46">
        <v>4129</v>
      </c>
      <c r="W133" s="49">
        <f>$V$133-($V$133-$AA$133)/($V$131-$AA$131)*($V$131-W131)</f>
        <v>4086.8</v>
      </c>
      <c r="X133" s="49">
        <f>$V$133-($V$133-$AA$133)/($V$131-$AA$131)*($V$131-X131)</f>
        <v>4044.6</v>
      </c>
      <c r="Y133" s="49">
        <f>$V$133-($V$133-$AA$133)/($V$131-$AA$131)*($V$131-Y131)</f>
        <v>4002.4</v>
      </c>
      <c r="Z133" s="49">
        <f>$V$133-($V$133-$AA$133)/($V$131-$AA$131)*($V$131-Z131)</f>
        <v>3960.2</v>
      </c>
      <c r="AA133" s="46">
        <v>3918</v>
      </c>
      <c r="AB133" s="49">
        <f>$AA$133-($AA$133-$AF$133)/($AA$131-$AF$131)*($AA$131-AB131)</f>
        <v>3905.2</v>
      </c>
      <c r="AC133" s="49">
        <f>$AA$133-($AA$133-$AF$133)/($AA$131-$AF$131)*($AA$131-AC131)</f>
        <v>3892.4</v>
      </c>
      <c r="AD133" s="49">
        <f>$AA$133-($AA$133-$AF$133)/($AA$131-$AF$131)*($AA$131-AD131)</f>
        <v>3879.6</v>
      </c>
      <c r="AE133" s="49">
        <f>$AA$133-($AA$133-$AF$133)/($AA$131-$AF$131)*($AA$131-AE131)</f>
        <v>3866.8</v>
      </c>
      <c r="AF133" s="46">
        <v>3854</v>
      </c>
      <c r="AG133" s="22"/>
      <c r="AH133" s="22"/>
      <c r="AI133" s="22"/>
      <c r="AJ133" s="22"/>
      <c r="AK133" s="22"/>
    </row>
    <row r="134" spans="1:37" s="33" customFormat="1" ht="24" x14ac:dyDescent="0.85">
      <c r="A134" s="96" t="s">
        <v>163</v>
      </c>
      <c r="B134" s="46">
        <v>5025</v>
      </c>
      <c r="C134" s="49">
        <f>$B$134-($B$134-$G$134)/($B$131-$G$131)*($B$131-C131)</f>
        <v>5010.2</v>
      </c>
      <c r="D134" s="49">
        <f>$B$134-($B$134-$G$134)/($B$131-$G$131)*($B$131-D131)</f>
        <v>4995.3999999999996</v>
      </c>
      <c r="E134" s="49">
        <f>$B$134-($B$134-$G$134)/($B$131-$G$131)*($B$131-E131)</f>
        <v>4980.6000000000004</v>
      </c>
      <c r="F134" s="49">
        <f>$B$134-($B$134-$G$134)/($B$131-$G$131)*($B$131-F131)</f>
        <v>4965.8</v>
      </c>
      <c r="G134" s="46">
        <v>4951</v>
      </c>
      <c r="H134" s="49">
        <f>$G$134-($G$134-$L$134)/($G$131-$L$131)*($G$131-H131)</f>
        <v>4940.8</v>
      </c>
      <c r="I134" s="49">
        <f>$G$134-($G$134-$L$134)/($G$131-$L$131)*($G$131-I131)</f>
        <v>4930.6000000000004</v>
      </c>
      <c r="J134" s="49">
        <f>$G$134-($G$134-$L$134)/($G$131-$L$131)*($G$131-J131)</f>
        <v>4920.3999999999996</v>
      </c>
      <c r="K134" s="49">
        <f>$G$134-($G$134-$L$134)/($G$131-$L$131)*($G$131-K131)</f>
        <v>4910.2</v>
      </c>
      <c r="L134" s="46">
        <v>4900</v>
      </c>
      <c r="M134" s="49">
        <f>$L$134-($L$134-$Q$134)/($L$131-$Q$131)*($L$131-M131)</f>
        <v>4900.2</v>
      </c>
      <c r="N134" s="49">
        <f>$L$134-($L$134-$Q$134)/($L$131-$Q$131)*($L$131-N131)</f>
        <v>4900.3999999999996</v>
      </c>
      <c r="O134" s="49">
        <f>$L$134-($L$134-$Q$134)/($L$131-$Q$131)*($L$131-O131)</f>
        <v>4900.6000000000004</v>
      </c>
      <c r="P134" s="49">
        <f>$L$134-($L$134-$Q$134)/($L$131-$Q$131)*($L$131-P131)</f>
        <v>4900.8</v>
      </c>
      <c r="Q134" s="46">
        <v>4901</v>
      </c>
      <c r="R134" s="49">
        <f>$Q$134-($Q$134-$V$134)/($Q$131-$V$131)*($Q$131-R131)</f>
        <v>4893.8</v>
      </c>
      <c r="S134" s="49">
        <f>$Q$134-($Q$134-$V$134)/($Q$131-$V$131)*($Q$131-S131)</f>
        <v>4886.6000000000004</v>
      </c>
      <c r="T134" s="49">
        <f>$Q$134-($Q$134-$V$134)/($Q$131-$V$131)*($Q$131-T131)</f>
        <v>4879.3999999999996</v>
      </c>
      <c r="U134" s="49">
        <f>$Q$134-($Q$134-$V$134)/($Q$131-$V$131)*($Q$131-U131)</f>
        <v>4872.2</v>
      </c>
      <c r="V134" s="46">
        <v>4865</v>
      </c>
      <c r="W134" s="49">
        <f>$V$134-($V$134-$AA$134)/($V$131-$AA$131)*($V$131-W131)</f>
        <v>4814</v>
      </c>
      <c r="X134" s="49">
        <f>$V$134-($V$134-$AA$134)/($V$131-$AA$131)*($V$131-X131)</f>
        <v>4763</v>
      </c>
      <c r="Y134" s="49">
        <f>$V$134-($V$134-$AA$134)/($V$131-$AA$131)*($V$131-Y131)</f>
        <v>4712</v>
      </c>
      <c r="Z134" s="49">
        <f>$V$134-($V$134-$AA$134)/($V$131-$AA$131)*($V$131-Z131)</f>
        <v>4661</v>
      </c>
      <c r="AA134" s="46">
        <v>4610</v>
      </c>
      <c r="AB134" s="49">
        <f>$AA$134-($AA$134-$AF$134)/($AA$131-$AF$131)*($AA$131-AB131)</f>
        <v>4590.8</v>
      </c>
      <c r="AC134" s="49">
        <f>$AA$134-($AA$134-$AF$134)/($AA$131-$AF$131)*($AA$131-AC131)</f>
        <v>4571.6000000000004</v>
      </c>
      <c r="AD134" s="49">
        <f>$AA$134-($AA$134-$AF$134)/($AA$131-$AF$131)*($AA$131-AD131)</f>
        <v>4552.3999999999996</v>
      </c>
      <c r="AE134" s="49">
        <f>$AA$134-($AA$134-$AF$134)/($AA$131-$AF$131)*($AA$131-AE131)</f>
        <v>4533.2</v>
      </c>
      <c r="AF134" s="46">
        <v>4514</v>
      </c>
      <c r="AG134" s="22"/>
      <c r="AH134" s="22"/>
      <c r="AI134" s="22"/>
      <c r="AJ134" s="22"/>
      <c r="AK134" s="22"/>
    </row>
    <row r="135" spans="1:37" s="33" customFormat="1" ht="24" x14ac:dyDescent="0.85">
      <c r="A135" s="96" t="s">
        <v>165</v>
      </c>
      <c r="B135" s="46">
        <v>3871</v>
      </c>
      <c r="C135" s="49">
        <f>$B$135-($B$135-$G$135)/($B$131-$G$131)*($B$131-C131)</f>
        <v>3864</v>
      </c>
      <c r="D135" s="49">
        <f>$B$135-($B$135-$G$135)/($B$131-$G$131)*($B$131-D131)</f>
        <v>3857</v>
      </c>
      <c r="E135" s="49">
        <f>$B$135-($B$135-$G$135)/($B$131-$G$131)*($B$131-E131)</f>
        <v>3850</v>
      </c>
      <c r="F135" s="49">
        <f>$B$135-($B$135-$G$135)/($B$131-$G$131)*($B$131-F131)</f>
        <v>3843</v>
      </c>
      <c r="G135" s="46">
        <v>3836</v>
      </c>
      <c r="H135" s="49">
        <f>$G$135-($G$135-$L$135)/($G$131-$L$131)*($G$131-H131)</f>
        <v>3821.4</v>
      </c>
      <c r="I135" s="49">
        <f>$G$135-($G$135-$L$135)/($G$131-$L$131)*($G$131-I131)</f>
        <v>3806.8</v>
      </c>
      <c r="J135" s="49">
        <f>$G$135-($G$135-$L$135)/($G$131-$L$131)*($G$131-J131)</f>
        <v>3792.2</v>
      </c>
      <c r="K135" s="49">
        <f>$G$135-($G$135-$L$135)/($G$131-$L$131)*($G$131-K131)</f>
        <v>3777.6</v>
      </c>
      <c r="L135" s="46">
        <v>3763</v>
      </c>
      <c r="M135" s="49">
        <f>$L$135-($L$135-$Q$135)/($L$131-$Q$131)*($L$131-M131)</f>
        <v>3770.6</v>
      </c>
      <c r="N135" s="49">
        <f>$L$135-($L$135-$Q$135)/($L$131-$Q$131)*($L$131-N131)</f>
        <v>3778.2</v>
      </c>
      <c r="O135" s="49">
        <f>$L$135-($L$135-$Q$135)/($L$131-$Q$131)*($L$131-O131)</f>
        <v>3785.8</v>
      </c>
      <c r="P135" s="49">
        <f>$L$135-($L$135-$Q$135)/($L$131-$Q$131)*($L$131-P131)</f>
        <v>3793.4</v>
      </c>
      <c r="Q135" s="46">
        <v>3801</v>
      </c>
      <c r="R135" s="49">
        <f>$Q$135-($Q$135-$V$135)/($Q$131-$V$131)*($Q$131-R131)</f>
        <v>3796.8</v>
      </c>
      <c r="S135" s="49">
        <f>$Q$135-($Q$135-$V$135)/($Q$131-$V$131)*($Q$131-S131)</f>
        <v>3792.6</v>
      </c>
      <c r="T135" s="49">
        <f>$Q$135-($Q$135-$V$135)/($Q$131-$V$131)*($Q$131-T131)</f>
        <v>3788.4</v>
      </c>
      <c r="U135" s="49">
        <f>$Q$135-($Q$135-$V$135)/($Q$131-$V$131)*($Q$131-U131)</f>
        <v>3784.2</v>
      </c>
      <c r="V135" s="46">
        <v>3780</v>
      </c>
      <c r="W135" s="49">
        <f>$V$135-($V$135-$AA$135)/($V$131-$AA$131)*($V$131-W131)</f>
        <v>3732.4</v>
      </c>
      <c r="X135" s="49">
        <f>$V$135-($V$135-$AA$135)/($V$131-$AA$131)*($V$131-X131)</f>
        <v>3684.8</v>
      </c>
      <c r="Y135" s="49">
        <f>$V$135-($V$135-$AA$135)/($V$131-$AA$131)*($V$131-Y131)</f>
        <v>3637.2</v>
      </c>
      <c r="Z135" s="49">
        <f>$V$135-($V$135-$AA$135)/($V$131-$AA$131)*($V$131-Z131)</f>
        <v>3589.6</v>
      </c>
      <c r="AA135" s="46">
        <v>3542</v>
      </c>
      <c r="AB135" s="49">
        <f>$AA$135-($AA$135-$AF$135)/($AA$131-$AF$131)*($AA$131-AB131)</f>
        <v>3531</v>
      </c>
      <c r="AC135" s="49">
        <f>$AA$135-($AA$135-$AF$135)/($AA$131-$AF$131)*($AA$131-AC131)</f>
        <v>3520</v>
      </c>
      <c r="AD135" s="49">
        <f>$AA$135-($AA$135-$AF$135)/($AA$131-$AF$131)*($AA$131-AD131)</f>
        <v>3509</v>
      </c>
      <c r="AE135" s="49">
        <f>$AA$135-($AA$135-$AF$135)/($AA$131-$AF$131)*($AA$131-AE131)</f>
        <v>3498</v>
      </c>
      <c r="AF135" s="46">
        <v>3487</v>
      </c>
      <c r="AG135" s="22"/>
      <c r="AH135" s="22"/>
      <c r="AI135" s="22"/>
      <c r="AJ135" s="22"/>
      <c r="AK135" s="22"/>
    </row>
    <row r="136" spans="1:37" s="33" customFormat="1" ht="24" x14ac:dyDescent="0.85">
      <c r="A136" s="96" t="s">
        <v>178</v>
      </c>
      <c r="B136" s="46">
        <v>4115</v>
      </c>
      <c r="C136" s="49">
        <f>$B$136-($B$136-$G$136)/($B$131-$G$131)*($B$131-C131)</f>
        <v>4109.6000000000004</v>
      </c>
      <c r="D136" s="49">
        <f>$B$136-($B$136-$G$136)/($B$131-$G$131)*($B$131-D131)</f>
        <v>4104.2</v>
      </c>
      <c r="E136" s="49">
        <f>$B$136-($B$136-$G$136)/($B$131-$G$131)*($B$131-E131)</f>
        <v>4098.8</v>
      </c>
      <c r="F136" s="49">
        <f>$B$136-($B$136-$G$136)/($B$131-$G$131)*($B$131-F131)</f>
        <v>4093.4</v>
      </c>
      <c r="G136" s="46">
        <v>4088</v>
      </c>
      <c r="H136" s="49">
        <f>$G$136-($G$136-$L$136)/($G$131-$L$131)*($G$131-H131)</f>
        <v>4070</v>
      </c>
      <c r="I136" s="49">
        <f>$G$136-($G$136-$L$136)/($G$131-$L$131)*($G$131-I131)</f>
        <v>4052</v>
      </c>
      <c r="J136" s="49">
        <f>$G$136-($G$136-$L$136)/($G$131-$L$131)*($G$131-J131)</f>
        <v>4034</v>
      </c>
      <c r="K136" s="49">
        <f>$G$136-($G$136-$L$136)/($G$131-$L$131)*($G$131-K131)</f>
        <v>4016</v>
      </c>
      <c r="L136" s="46">
        <v>3998</v>
      </c>
      <c r="M136" s="49">
        <f>$L$136-($L$136-$Q$136)/($L$131-$Q$131)*($L$131-M131)</f>
        <v>4004.6</v>
      </c>
      <c r="N136" s="49">
        <f>$L$136-($L$136-$Q$136)/($L$131-$Q$131)*($L$131-N131)</f>
        <v>4011.2</v>
      </c>
      <c r="O136" s="49">
        <f>$L$136-($L$136-$Q$136)/($L$131-$Q$131)*($L$131-O131)</f>
        <v>4017.8</v>
      </c>
      <c r="P136" s="49">
        <f>$L$136-($L$136-$Q$136)/($L$131-$Q$131)*($L$131-P131)</f>
        <v>4024.4</v>
      </c>
      <c r="Q136" s="46">
        <v>4031</v>
      </c>
      <c r="R136" s="49">
        <f>$Q$136-($Q$136-$V$136)/($Q$131-$V$131)*($Q$131-R131)</f>
        <v>4024.2</v>
      </c>
      <c r="S136" s="49">
        <f>$Q$136-($Q$136-$V$136)/($Q$131-$V$131)*($Q$131-S131)</f>
        <v>4017.4</v>
      </c>
      <c r="T136" s="49">
        <f>$Q$136-($Q$136-$V$136)/($Q$131-$V$131)*($Q$131-T131)</f>
        <v>4010.6</v>
      </c>
      <c r="U136" s="49">
        <f>$Q$136-($Q$136-$V$136)/($Q$131-$V$131)*($Q$131-U131)</f>
        <v>4003.8</v>
      </c>
      <c r="V136" s="46">
        <v>3997</v>
      </c>
      <c r="W136" s="49">
        <f>$V$136-($V$136-$AA$136)/($V$131-$AA$131)*($V$131-W131)</f>
        <v>3950.8</v>
      </c>
      <c r="X136" s="49">
        <f>$V$136-($V$136-$AA$136)/($V$131-$AA$131)*($V$131-X131)</f>
        <v>3904.6</v>
      </c>
      <c r="Y136" s="49">
        <f>$V$136-($V$136-$AA$136)/($V$131-$AA$131)*($V$131-Y131)</f>
        <v>3858.4</v>
      </c>
      <c r="Z136" s="49">
        <f>$V$136-($V$136-$AA$136)/($V$131-$AA$131)*($V$131-Z131)</f>
        <v>3812.2</v>
      </c>
      <c r="AA136" s="46">
        <v>3766</v>
      </c>
      <c r="AB136" s="49">
        <f>$AA$136-($AA$136-$AF$136)/($AA$131-$AF$131)*($AA$131-AB131)</f>
        <v>3752.8</v>
      </c>
      <c r="AC136" s="49">
        <f>$AA$136-($AA$136-$AF$136)/($AA$131-$AF$131)*($AA$131-AC131)</f>
        <v>3739.6</v>
      </c>
      <c r="AD136" s="49">
        <f>$AA$136-($AA$136-$AF$136)/($AA$131-$AF$131)*($AA$131-AD131)</f>
        <v>3726.4</v>
      </c>
      <c r="AE136" s="49">
        <f>$AA$136-($AA$136-$AF$136)/($AA$131-$AF$131)*($AA$131-AE131)</f>
        <v>3713.2</v>
      </c>
      <c r="AF136" s="46">
        <v>3700</v>
      </c>
      <c r="AG136" s="22"/>
      <c r="AH136" s="22"/>
      <c r="AI136" s="22"/>
      <c r="AJ136" s="22"/>
      <c r="AK136" s="22"/>
    </row>
    <row r="137" spans="1:37" ht="24" x14ac:dyDescent="0.85">
      <c r="A137" s="201" t="s">
        <v>128</v>
      </c>
      <c r="B137" s="202"/>
      <c r="C137" s="202"/>
      <c r="D137" s="202"/>
      <c r="E137" s="202"/>
      <c r="F137" s="202"/>
      <c r="G137" s="202"/>
      <c r="H137" s="202"/>
      <c r="I137" s="202"/>
      <c r="J137" s="202"/>
      <c r="K137" s="202"/>
      <c r="L137" s="202"/>
      <c r="M137" s="202"/>
      <c r="N137" s="202"/>
      <c r="O137" s="202"/>
      <c r="P137" s="202"/>
      <c r="Q137" s="202"/>
      <c r="R137" s="202"/>
      <c r="S137" s="202"/>
      <c r="T137" s="202"/>
      <c r="U137" s="202"/>
      <c r="V137" s="202"/>
      <c r="W137" s="202"/>
      <c r="X137" s="202"/>
      <c r="Y137" s="202"/>
      <c r="Z137" s="202"/>
      <c r="AA137" s="202"/>
      <c r="AB137" s="202"/>
      <c r="AC137" s="202"/>
      <c r="AD137" s="202"/>
      <c r="AE137" s="202"/>
      <c r="AF137" s="203"/>
      <c r="AG137" s="22"/>
      <c r="AH137" s="22"/>
      <c r="AI137" s="22"/>
      <c r="AJ137" s="22"/>
      <c r="AK137" s="22"/>
    </row>
    <row r="138" spans="1:37" s="22" customFormat="1" ht="25.35" customHeight="1" x14ac:dyDescent="0.85">
      <c r="A138" s="2" t="s">
        <v>97</v>
      </c>
      <c r="B138" s="2">
        <v>2020</v>
      </c>
      <c r="C138" s="2">
        <v>2021</v>
      </c>
      <c r="D138" s="2">
        <v>2022</v>
      </c>
      <c r="E138" s="2">
        <v>2023</v>
      </c>
      <c r="F138" s="2">
        <v>2024</v>
      </c>
      <c r="G138" s="2">
        <v>2025</v>
      </c>
      <c r="H138" s="2">
        <v>2026</v>
      </c>
      <c r="I138" s="2">
        <v>2027</v>
      </c>
      <c r="J138" s="2">
        <v>2028</v>
      </c>
      <c r="K138" s="2">
        <v>2029</v>
      </c>
      <c r="L138" s="2">
        <v>2030</v>
      </c>
      <c r="M138" s="2">
        <v>2031</v>
      </c>
      <c r="N138" s="2">
        <v>2032</v>
      </c>
      <c r="O138" s="2">
        <v>2033</v>
      </c>
      <c r="P138" s="2">
        <v>2034</v>
      </c>
      <c r="Q138" s="2">
        <v>2035</v>
      </c>
      <c r="R138" s="2">
        <v>2036</v>
      </c>
      <c r="S138" s="2">
        <v>2037</v>
      </c>
      <c r="T138" s="2">
        <v>2038</v>
      </c>
      <c r="U138" s="2">
        <v>2039</v>
      </c>
      <c r="V138" s="2">
        <v>2040</v>
      </c>
      <c r="W138" s="2">
        <v>2041</v>
      </c>
      <c r="X138" s="2">
        <v>2042</v>
      </c>
      <c r="Y138" s="2">
        <v>2043</v>
      </c>
      <c r="Z138" s="2">
        <v>2044</v>
      </c>
      <c r="AA138" s="2">
        <v>2045</v>
      </c>
      <c r="AB138" s="2">
        <v>2046</v>
      </c>
      <c r="AC138" s="2">
        <v>2047</v>
      </c>
      <c r="AD138" s="2">
        <v>2048</v>
      </c>
      <c r="AE138" s="2">
        <v>2049</v>
      </c>
      <c r="AF138" s="2">
        <v>2050</v>
      </c>
    </row>
    <row r="139" spans="1:37" s="33" customFormat="1" ht="24" x14ac:dyDescent="0.85">
      <c r="A139" s="96" t="s">
        <v>160</v>
      </c>
      <c r="B139" s="46">
        <v>1226</v>
      </c>
      <c r="C139" s="49">
        <f>$B$139-($B$139-$G$139)/($B$138-$G$138)*($B$138-C138)</f>
        <v>1246</v>
      </c>
      <c r="D139" s="49">
        <f>$B$139-($B$139-$G$139)/($B$138-$G$138)*($B$138-D138)</f>
        <v>1266</v>
      </c>
      <c r="E139" s="49">
        <f>$B$139-($B$139-$G$139)/($B$138-$G$138)*($B$138-E138)</f>
        <v>1286</v>
      </c>
      <c r="F139" s="49">
        <f>$B$139-($B$139-$G$139)/($B$138-$G$138)*($B$138-F138)</f>
        <v>1306</v>
      </c>
      <c r="G139" s="46">
        <v>1326</v>
      </c>
      <c r="H139" s="49">
        <f>$G$139-($G$139-$L$139)/($G$138-$L$138)*($G$138-H138)</f>
        <v>1327.6</v>
      </c>
      <c r="I139" s="49">
        <f>$G$139-($G$139-$L$139)/($G$138-$L$138)*($G$138-I138)</f>
        <v>1329.2</v>
      </c>
      <c r="J139" s="49">
        <f>$G$139-($G$139-$L$139)/($G$138-$L$138)*($G$138-J138)</f>
        <v>1330.8</v>
      </c>
      <c r="K139" s="49">
        <f>$G$139-($G$139-$L$139)/($G$138-$L$138)*($G$138-K138)</f>
        <v>1332.4</v>
      </c>
      <c r="L139" s="46">
        <v>1334</v>
      </c>
      <c r="M139" s="49">
        <f>$L$139-($L$139-$Q$139)/($L$138-$Q$138)*($L$138-M138)</f>
        <v>1344</v>
      </c>
      <c r="N139" s="49">
        <f>$L$139-($L$139-$Q$139)/($L$138-$Q$138)*($L$138-N138)</f>
        <v>1354</v>
      </c>
      <c r="O139" s="49">
        <f>$L$139-($L$139-$Q$139)/($L$138-$Q$138)*($L$138-O138)</f>
        <v>1364</v>
      </c>
      <c r="P139" s="49">
        <f>$L$139-($L$139-$Q$139)/($L$138-$Q$138)*($L$138-P138)</f>
        <v>1374</v>
      </c>
      <c r="Q139" s="46">
        <v>1384</v>
      </c>
      <c r="R139" s="49">
        <f>$Q$139-($Q$139-$V$139)/($Q$138-$V$138)*($Q$138-R138)</f>
        <v>1423.2</v>
      </c>
      <c r="S139" s="49">
        <f>$Q$139-($Q$139-$V$139)/($Q$138-$V$138)*($Q$138-S138)</f>
        <v>1462.4</v>
      </c>
      <c r="T139" s="49">
        <f>$Q$139-($Q$139-$V$139)/($Q$138-$V$138)*($Q$138-T138)</f>
        <v>1501.6</v>
      </c>
      <c r="U139" s="49">
        <f>$Q$139-($Q$139-$V$139)/($Q$138-$V$138)*($Q$138-U138)</f>
        <v>1540.8</v>
      </c>
      <c r="V139" s="46">
        <v>1580</v>
      </c>
      <c r="W139" s="49">
        <f>$V$139-($V$139-$AA$139)/($V$138-$AA$138)*($V$138-W138)</f>
        <v>1565.6</v>
      </c>
      <c r="X139" s="49">
        <f>$V$139-($V$139-$AA$139)/($V$138-$AA$138)*($V$138-X138)</f>
        <v>1551.2</v>
      </c>
      <c r="Y139" s="49">
        <f>$V$139-($V$139-$AA$139)/($V$138-$AA$138)*($V$138-Y138)</f>
        <v>1536.8</v>
      </c>
      <c r="Z139" s="49">
        <f>$V$139-($V$139-$AA$139)/($V$138-$AA$138)*($V$138-Z138)</f>
        <v>1522.4</v>
      </c>
      <c r="AA139" s="46">
        <v>1508</v>
      </c>
      <c r="AB139" s="49">
        <f>$AA$139-($AA$139-$AF$139)/($AA$138-$AF$138)*($AA$138-AB138)</f>
        <v>1538.8</v>
      </c>
      <c r="AC139" s="49">
        <f>$AA$139-($AA$139-$AF$139)/($AA$138-$AF$138)*($AA$138-AC138)</f>
        <v>1569.6</v>
      </c>
      <c r="AD139" s="49">
        <f>$AA$139-($AA$139-$AF$139)/($AA$138-$AF$138)*($AA$138-AD138)</f>
        <v>1600.4</v>
      </c>
      <c r="AE139" s="49">
        <f>$AA$139-($AA$139-$AF$139)/($AA$138-$AF$138)*($AA$138-AE138)</f>
        <v>1631.2</v>
      </c>
      <c r="AF139" s="46">
        <v>1662</v>
      </c>
      <c r="AG139" s="22"/>
      <c r="AH139" s="22"/>
      <c r="AI139" s="22"/>
      <c r="AJ139" s="22"/>
      <c r="AK139" s="22"/>
    </row>
    <row r="140" spans="1:37" s="33" customFormat="1" ht="24" x14ac:dyDescent="0.85">
      <c r="A140" s="96" t="s">
        <v>161</v>
      </c>
      <c r="B140" s="46">
        <v>1041</v>
      </c>
      <c r="C140" s="49">
        <f>$B$140-($B$140-$G$140)/($B$138-$G$138)*($B$138-C138)</f>
        <v>1059.5999999999999</v>
      </c>
      <c r="D140" s="49">
        <f>$B$140-($B$140-$G$140)/($B$138-$G$138)*($B$138-D138)</f>
        <v>1078.2</v>
      </c>
      <c r="E140" s="49">
        <f>$B$140-($B$140-$G$140)/($B$138-$G$138)*($B$138-E138)</f>
        <v>1096.8</v>
      </c>
      <c r="F140" s="49">
        <f>$B$140-($B$140-$G$140)/($B$138-$G$138)*($B$138-F138)</f>
        <v>1115.4000000000001</v>
      </c>
      <c r="G140" s="46">
        <v>1134</v>
      </c>
      <c r="H140" s="49">
        <f>$G$140-($G$140-$L$140)/($G$138-$L$138)*($G$138-H138)</f>
        <v>1135.2</v>
      </c>
      <c r="I140" s="49">
        <f>$G$140-($G$140-$L$140)/($G$138-$L$138)*($G$138-I138)</f>
        <v>1136.4000000000001</v>
      </c>
      <c r="J140" s="49">
        <f>$G$140-($G$140-$L$140)/($G$138-$L$138)*($G$138-J138)</f>
        <v>1137.5999999999999</v>
      </c>
      <c r="K140" s="49">
        <f>$G$140-($G$140-$L$140)/($G$138-$L$138)*($G$138-K138)</f>
        <v>1138.8</v>
      </c>
      <c r="L140" s="46">
        <v>1140</v>
      </c>
      <c r="M140" s="49">
        <f>$L$140-($L$140-$Q$140)/($L$138-$Q$138)*($L$138-M138)</f>
        <v>1147.5999999999999</v>
      </c>
      <c r="N140" s="49">
        <f>$L$140-($L$140-$Q$140)/($L$138-$Q$138)*($L$138-N138)</f>
        <v>1155.2</v>
      </c>
      <c r="O140" s="49">
        <f>$L$140-($L$140-$Q$140)/($L$138-$Q$138)*($L$138-O138)</f>
        <v>1162.8</v>
      </c>
      <c r="P140" s="49">
        <f>$L$140-($L$140-$Q$140)/($L$138-$Q$138)*($L$138-P138)</f>
        <v>1170.4000000000001</v>
      </c>
      <c r="Q140" s="46">
        <v>1178</v>
      </c>
      <c r="R140" s="49">
        <f>$Q$140-($Q$140-$V$140)/($Q$138-$V$138)*($Q$138-R138)</f>
        <v>1217.5999999999999</v>
      </c>
      <c r="S140" s="49">
        <f>$Q$140-($Q$140-$V$140)/($Q$138-$V$138)*($Q$138-S138)</f>
        <v>1257.2</v>
      </c>
      <c r="T140" s="49">
        <f>$Q$140-($Q$140-$V$140)/($Q$138-$V$138)*($Q$138-T138)</f>
        <v>1296.8</v>
      </c>
      <c r="U140" s="49">
        <f>$Q$140-($Q$140-$V$140)/($Q$138-$V$138)*($Q$138-U138)</f>
        <v>1336.4</v>
      </c>
      <c r="V140" s="46">
        <v>1376</v>
      </c>
      <c r="W140" s="49">
        <f>$V$140-($V$140-$AA$140)/($V$138-$AA$138)*($V$138-W138)</f>
        <v>1360.2</v>
      </c>
      <c r="X140" s="49">
        <f>$V$140-($V$140-$AA$140)/($V$138-$AA$138)*($V$138-X138)</f>
        <v>1344.4</v>
      </c>
      <c r="Y140" s="49">
        <f>$V$140-($V$140-$AA$140)/($V$138-$AA$138)*($V$138-Y138)</f>
        <v>1328.6</v>
      </c>
      <c r="Z140" s="49">
        <f>$V$140-($V$140-$AA$140)/($V$138-$AA$138)*($V$138-Z138)</f>
        <v>1312.8</v>
      </c>
      <c r="AA140" s="46">
        <v>1297</v>
      </c>
      <c r="AB140" s="49">
        <f>$AA$140-($AA$140-$AF$140)/($AA$138-$AF$138)*($AA$138-AB138)</f>
        <v>1327.2</v>
      </c>
      <c r="AC140" s="49">
        <f>$AA$140-($AA$140-$AF$140)/($AA$138-$AF$138)*($AA$138-AC138)</f>
        <v>1357.4</v>
      </c>
      <c r="AD140" s="49">
        <f>$AA$140-($AA$140-$AF$140)/($AA$138-$AF$138)*($AA$138-AD138)</f>
        <v>1387.6</v>
      </c>
      <c r="AE140" s="49">
        <f>$AA$140-($AA$140-$AF$140)/($AA$138-$AF$138)*($AA$138-AE138)</f>
        <v>1417.8</v>
      </c>
      <c r="AF140" s="46">
        <v>1448</v>
      </c>
      <c r="AG140" s="22"/>
      <c r="AH140" s="22"/>
      <c r="AI140" s="22"/>
      <c r="AJ140" s="22"/>
      <c r="AK140" s="22"/>
    </row>
    <row r="141" spans="1:37" s="33" customFormat="1" x14ac:dyDescent="0.3">
      <c r="A141" s="96" t="s">
        <v>162</v>
      </c>
      <c r="B141" s="46">
        <v>498</v>
      </c>
      <c r="C141" s="49">
        <f>$B$141-($B$141-$G$141)/($B$138-$G$138)*($B$138-C138)</f>
        <v>518.6</v>
      </c>
      <c r="D141" s="49">
        <f>$B$141-($B$141-$G$141)/($B$138-$G$138)*($B$138-D138)</f>
        <v>539.20000000000005</v>
      </c>
      <c r="E141" s="49">
        <f>$B$141-($B$141-$G$141)/($B$138-$G$138)*($B$138-E138)</f>
        <v>559.79999999999995</v>
      </c>
      <c r="F141" s="49">
        <f>$B$141-($B$141-$G$141)/($B$138-$G$138)*($B$138-F138)</f>
        <v>580.4</v>
      </c>
      <c r="G141" s="46">
        <v>601</v>
      </c>
      <c r="H141" s="49">
        <f>$G$141-($G$141-$L$141)/($G$138-$L$138)*($G$138-H138)</f>
        <v>607.6</v>
      </c>
      <c r="I141" s="49">
        <f>$G$141-($G$141-$L$141)/($G$138-$L$138)*($G$138-I138)</f>
        <v>614.20000000000005</v>
      </c>
      <c r="J141" s="49">
        <f>$G$141-($G$141-$L$141)/($G$138-$L$138)*($G$138-J138)</f>
        <v>620.79999999999995</v>
      </c>
      <c r="K141" s="49">
        <f>$G$141-($G$141-$L$141)/($G$138-$L$138)*($G$138-K138)</f>
        <v>627.4</v>
      </c>
      <c r="L141" s="46">
        <v>634</v>
      </c>
      <c r="M141" s="49">
        <f>$L$141-($L$141-$Q$141)/($L$138-$Q$138)*($L$138-M138)</f>
        <v>636.4</v>
      </c>
      <c r="N141" s="49">
        <f>$L$141-($L$141-$Q$141)/($L$138-$Q$138)*($L$138-N138)</f>
        <v>638.79999999999995</v>
      </c>
      <c r="O141" s="49">
        <f>$L$141-($L$141-$Q$141)/($L$138-$Q$138)*($L$138-O138)</f>
        <v>641.20000000000005</v>
      </c>
      <c r="P141" s="49">
        <f>$L$141-($L$141-$Q$141)/($L$138-$Q$138)*($L$138-P138)</f>
        <v>643.6</v>
      </c>
      <c r="Q141" s="46">
        <v>646</v>
      </c>
      <c r="R141" s="49">
        <f>$Q$141-($Q$141-$V$141)/($Q$138-$V$138)*($Q$138-R138)</f>
        <v>682.2</v>
      </c>
      <c r="S141" s="49">
        <f>$Q$141-($Q$141-$V$141)/($Q$138-$V$138)*($Q$138-S138)</f>
        <v>718.4</v>
      </c>
      <c r="T141" s="49">
        <f>$Q$141-($Q$141-$V$141)/($Q$138-$V$138)*($Q$138-T138)</f>
        <v>754.6</v>
      </c>
      <c r="U141" s="49">
        <f>$Q$141-($Q$141-$V$141)/($Q$138-$V$138)*($Q$138-U138)</f>
        <v>790.8</v>
      </c>
      <c r="V141" s="46">
        <v>827</v>
      </c>
      <c r="W141" s="49">
        <f>$V$141-($V$141-$AA$141)/($V$138-$AA$138)*($V$138-W138)</f>
        <v>807.6</v>
      </c>
      <c r="X141" s="49">
        <f>$V$141-($V$141-$AA$141)/($V$138-$AA$138)*($V$138-X138)</f>
        <v>788.2</v>
      </c>
      <c r="Y141" s="49">
        <f>$V$141-($V$141-$AA$141)/($V$138-$AA$138)*($V$138-Y138)</f>
        <v>768.8</v>
      </c>
      <c r="Z141" s="49">
        <f>$V$141-($V$141-$AA$141)/($V$138-$AA$138)*($V$138-Z138)</f>
        <v>749.4</v>
      </c>
      <c r="AA141" s="46">
        <v>730</v>
      </c>
      <c r="AB141" s="49">
        <f>$AA$141-($AA$141-$AF$141)/($AA$138-$AF$138)*($AA$138-AB138)</f>
        <v>762.2</v>
      </c>
      <c r="AC141" s="49">
        <f>$AA$141-($AA$141-$AF$141)/($AA$138-$AF$138)*($AA$138-AC138)</f>
        <v>794.4</v>
      </c>
      <c r="AD141" s="49">
        <f>$AA$141-($AA$141-$AF$141)/($AA$138-$AF$138)*($AA$138-AD138)</f>
        <v>826.6</v>
      </c>
      <c r="AE141" s="49">
        <f>$AA$141-($AA$141-$AF$141)/($AA$138-$AF$138)*($AA$138-AE138)</f>
        <v>858.8</v>
      </c>
      <c r="AF141" s="46">
        <v>891</v>
      </c>
      <c r="AH141" s="47"/>
      <c r="AI141" s="47"/>
      <c r="AJ141" s="48"/>
    </row>
    <row r="142" spans="1:37" s="33" customFormat="1" x14ac:dyDescent="0.3">
      <c r="A142" s="96" t="s">
        <v>164</v>
      </c>
      <c r="B142" s="46">
        <v>1278</v>
      </c>
      <c r="C142" s="49">
        <f>$B$142-($B$142-$G$142)/($B$138-$G$138)*($B$138-C138)</f>
        <v>1297.4000000000001</v>
      </c>
      <c r="D142" s="49">
        <f>$B$142-($B$142-$G$142)/($B$138-$G$138)*($B$138-D138)</f>
        <v>1316.8</v>
      </c>
      <c r="E142" s="49">
        <f>$B$142-($B$142-$G$142)/($B$138-$G$138)*($B$138-E138)</f>
        <v>1336.2</v>
      </c>
      <c r="F142" s="49">
        <f>$B$142-($B$142-$G$142)/($B$138-$G$138)*($B$138-F138)</f>
        <v>1355.6</v>
      </c>
      <c r="G142" s="46">
        <v>1375</v>
      </c>
      <c r="H142" s="49">
        <f>$G$142-($G$142-$L$142)/($G$138-$L$138)*($G$138-H138)</f>
        <v>1378.6</v>
      </c>
      <c r="I142" s="49">
        <f>$G$142-($G$142-$L$142)/($G$138-$L$138)*($G$138-I138)</f>
        <v>1382.2</v>
      </c>
      <c r="J142" s="49">
        <f>$G$142-($G$142-$L$142)/($G$138-$L$138)*($G$138-J138)</f>
        <v>1385.8</v>
      </c>
      <c r="K142" s="49">
        <f>$G$142-($G$142-$L$142)/($G$138-$L$138)*($G$138-K138)</f>
        <v>1389.4</v>
      </c>
      <c r="L142" s="46">
        <v>1393</v>
      </c>
      <c r="M142" s="49">
        <f>$L$142-($L$142-$Q$142)/($L$138-$Q$138)*($L$138-M138)</f>
        <v>1403.8</v>
      </c>
      <c r="N142" s="49">
        <f>$L$142-($L$142-$Q$142)/($L$138-$Q$138)*($L$138-N138)</f>
        <v>1414.6</v>
      </c>
      <c r="O142" s="49">
        <f>$L$142-($L$142-$Q$142)/($L$138-$Q$138)*($L$138-O138)</f>
        <v>1425.4</v>
      </c>
      <c r="P142" s="49">
        <f>$L$142-($L$142-$Q$142)/($L$138-$Q$138)*($L$138-P138)</f>
        <v>1436.2</v>
      </c>
      <c r="Q142" s="46">
        <v>1447</v>
      </c>
      <c r="R142" s="49">
        <f>$Q$142-($Q$142-$V$142)/($Q$138-$V$138)*($Q$138-R138)</f>
        <v>1484.8</v>
      </c>
      <c r="S142" s="49">
        <f>$Q$142-($Q$142-$V$142)/($Q$138-$V$138)*($Q$138-S138)</f>
        <v>1522.6</v>
      </c>
      <c r="T142" s="49">
        <f>$Q$142-($Q$142-$V$142)/($Q$138-$V$138)*($Q$138-T138)</f>
        <v>1560.4</v>
      </c>
      <c r="U142" s="49">
        <f>$Q$142-($Q$142-$V$142)/($Q$138-$V$138)*($Q$138-U138)</f>
        <v>1598.2</v>
      </c>
      <c r="V142" s="46">
        <v>1636</v>
      </c>
      <c r="W142" s="49">
        <f>$V$142-($V$142-$AA$142)/($V$138-$AA$138)*($V$138-W138)</f>
        <v>1622.2</v>
      </c>
      <c r="X142" s="49">
        <f>$V$142-($V$142-$AA$142)/($V$138-$AA$138)*($V$138-X138)</f>
        <v>1608.4</v>
      </c>
      <c r="Y142" s="49">
        <f>$V$142-($V$142-$AA$142)/($V$138-$AA$138)*($V$138-Y138)</f>
        <v>1594.6</v>
      </c>
      <c r="Z142" s="49">
        <f>$V$142-($V$142-$AA$142)/($V$138-$AA$138)*($V$138-Z138)</f>
        <v>1580.8</v>
      </c>
      <c r="AA142" s="46">
        <v>1567</v>
      </c>
      <c r="AB142" s="49">
        <f>$AA$142-($AA$142-$AF$142)/($AA$138-$AF$138)*($AA$138-AB138)</f>
        <v>1597.8</v>
      </c>
      <c r="AC142" s="49">
        <f>$AA$142-($AA$142-$AF$142)/($AA$138-$AF$138)*($AA$138-AC138)</f>
        <v>1628.6</v>
      </c>
      <c r="AD142" s="49">
        <f>$AA$142-($AA$142-$AF$142)/($AA$138-$AF$138)*($AA$138-AD138)</f>
        <v>1659.4</v>
      </c>
      <c r="AE142" s="49">
        <f>$AA$142-($AA$142-$AF$142)/($AA$138-$AF$138)*($AA$138-AE138)</f>
        <v>1690.2</v>
      </c>
      <c r="AF142" s="46">
        <v>1721</v>
      </c>
      <c r="AH142" s="47"/>
      <c r="AI142" s="47"/>
      <c r="AJ142" s="48"/>
    </row>
    <row r="143" spans="1:37" s="33" customFormat="1" x14ac:dyDescent="0.3">
      <c r="A143" s="96" t="s">
        <v>179</v>
      </c>
      <c r="B143" s="46">
        <v>1165</v>
      </c>
      <c r="C143" s="49">
        <f>$B$143-($B$143-$G$143)/($B$138-$G$138)*($B$138-C138)</f>
        <v>1186.8</v>
      </c>
      <c r="D143" s="49">
        <f>$B$143-($B$143-$G$143)/($B$138-$G$138)*($B$138-D138)</f>
        <v>1208.5999999999999</v>
      </c>
      <c r="E143" s="49">
        <f>$B$143-($B$143-$G$143)/($B$138-$G$138)*($B$138-E138)</f>
        <v>1230.4000000000001</v>
      </c>
      <c r="F143" s="49">
        <f>$B$143-($B$143-$G$143)/($B$138-$G$138)*($B$138-F138)</f>
        <v>1252.2</v>
      </c>
      <c r="G143" s="46">
        <v>1274</v>
      </c>
      <c r="H143" s="49">
        <f>$G$143-($G$143-$L$143)/($G$138-$L$138)*($G$138-H138)</f>
        <v>1278.8</v>
      </c>
      <c r="I143" s="49">
        <f>$G$143-($G$143-$L$143)/($G$138-$L$138)*($G$138-I138)</f>
        <v>1283.5999999999999</v>
      </c>
      <c r="J143" s="49">
        <f>$G$143-($G$143-$L$143)/($G$138-$L$138)*($G$138-J138)</f>
        <v>1288.4000000000001</v>
      </c>
      <c r="K143" s="49">
        <f>$G$143-($G$143-$L$143)/($G$138-$L$138)*($G$138-K138)</f>
        <v>1293.2</v>
      </c>
      <c r="L143" s="46">
        <v>1298</v>
      </c>
      <c r="M143" s="49">
        <f>$L$143-($L$143-$Q$143)/($L$138-$Q$138)*($L$138-M138)</f>
        <v>1305.4000000000001</v>
      </c>
      <c r="N143" s="49">
        <f>$L$143-($L$143-$Q$143)/($L$138-$Q$138)*($L$138-N138)</f>
        <v>1312.8</v>
      </c>
      <c r="O143" s="49">
        <f>$L$143-($L$143-$Q$143)/($L$138-$Q$138)*($L$138-O138)</f>
        <v>1320.2</v>
      </c>
      <c r="P143" s="49">
        <f>$L$143-($L$143-$Q$143)/($L$138-$Q$138)*($L$138-P138)</f>
        <v>1327.6</v>
      </c>
      <c r="Q143" s="46">
        <v>1335</v>
      </c>
      <c r="R143" s="49">
        <f>$Q$143-($Q$143-$V$143)/($Q$138-$V$138)*($Q$138-R138)</f>
        <v>1369.6</v>
      </c>
      <c r="S143" s="49">
        <f>$Q$143-($Q$143-$V$143)/($Q$138-$V$138)*($Q$138-S138)</f>
        <v>1404.2</v>
      </c>
      <c r="T143" s="49">
        <f>$Q$143-($Q$143-$V$143)/($Q$138-$V$138)*($Q$138-T138)</f>
        <v>1438.8</v>
      </c>
      <c r="U143" s="49">
        <f>$Q$143-($Q$143-$V$143)/($Q$138-$V$138)*($Q$138-U138)</f>
        <v>1473.4</v>
      </c>
      <c r="V143" s="46">
        <v>1508</v>
      </c>
      <c r="W143" s="49">
        <f>$V$143-($V$143-$AA$143)/($V$138-$AA$138)*($V$138-W138)</f>
        <v>1495.4</v>
      </c>
      <c r="X143" s="49">
        <f>$V$143-($V$143-$AA$143)/($V$138-$AA$138)*($V$138-X138)</f>
        <v>1482.8</v>
      </c>
      <c r="Y143" s="49">
        <f>$V$143-($V$143-$AA$143)/($V$138-$AA$138)*($V$138-Y138)</f>
        <v>1470.2</v>
      </c>
      <c r="Z143" s="49">
        <f>$V$143-($V$143-$AA$143)/($V$138-$AA$138)*($V$138-Z138)</f>
        <v>1457.6</v>
      </c>
      <c r="AA143" s="46">
        <v>1445</v>
      </c>
      <c r="AB143" s="49">
        <f>$AA$143-($AA$143-$AF$143)/($AA$138-$AF$138)*($AA$138-AB138)</f>
        <v>1471.2</v>
      </c>
      <c r="AC143" s="49">
        <f>$AA$143-($AA$143-$AF$143)/($AA$138-$AF$138)*($AA$138-AC138)</f>
        <v>1497.4</v>
      </c>
      <c r="AD143" s="49">
        <f>$AA$143-($AA$143-$AF$143)/($AA$138-$AF$138)*($AA$138-AD138)</f>
        <v>1523.6</v>
      </c>
      <c r="AE143" s="49">
        <f>$AA$143-($AA$143-$AF$143)/($AA$138-$AF$138)*($AA$138-AE138)</f>
        <v>1549.8</v>
      </c>
      <c r="AF143" s="46">
        <v>1576</v>
      </c>
      <c r="AH143" s="47"/>
      <c r="AI143" s="47"/>
      <c r="AJ143" s="48"/>
    </row>
    <row r="144" spans="1:37" s="28" customFormat="1" x14ac:dyDescent="0.3">
      <c r="A144" s="539"/>
      <c r="B144" s="539"/>
      <c r="C144" s="539"/>
      <c r="D144" s="539"/>
      <c r="E144" s="539"/>
      <c r="F144" s="539"/>
      <c r="G144" s="539"/>
      <c r="H144" s="539"/>
      <c r="I144" s="539"/>
      <c r="J144" s="539"/>
      <c r="K144" s="539"/>
      <c r="L144" s="539"/>
      <c r="M144" s="30"/>
      <c r="N144" s="45"/>
      <c r="O144" s="45"/>
      <c r="P144" s="45"/>
      <c r="Q144" s="45"/>
      <c r="R144" s="45"/>
      <c r="S144" s="45"/>
      <c r="T144" s="45"/>
      <c r="U144" s="45"/>
    </row>
    <row r="145" spans="1:36" ht="30" customHeight="1" x14ac:dyDescent="0.7">
      <c r="A145" s="292" t="s">
        <v>144</v>
      </c>
      <c r="B145" s="293"/>
      <c r="C145" s="293"/>
      <c r="D145" s="293"/>
      <c r="E145" s="293"/>
      <c r="F145" s="293"/>
      <c r="G145" s="293"/>
      <c r="H145" s="293"/>
      <c r="I145" s="293"/>
      <c r="J145" s="293"/>
      <c r="K145" s="293"/>
      <c r="L145" s="293"/>
      <c r="M145" s="293"/>
      <c r="N145" s="293"/>
      <c r="O145" s="293"/>
      <c r="P145" s="293"/>
      <c r="Q145" s="293"/>
      <c r="R145" s="293"/>
      <c r="S145" s="293"/>
      <c r="T145" s="293"/>
      <c r="U145" s="293"/>
      <c r="V145" s="293"/>
      <c r="W145" s="293"/>
      <c r="X145" s="293"/>
      <c r="Y145" s="293"/>
      <c r="Z145" s="293"/>
      <c r="AA145" s="293"/>
      <c r="AB145" s="293"/>
      <c r="AC145" s="293"/>
      <c r="AD145" s="293"/>
      <c r="AE145" s="293"/>
      <c r="AF145" s="294"/>
    </row>
    <row r="146" spans="1:36" s="206" customFormat="1" ht="26.4" x14ac:dyDescent="0.9">
      <c r="A146" s="214" t="s">
        <v>122</v>
      </c>
      <c r="B146" s="215"/>
      <c r="C146" s="215"/>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215"/>
      <c r="AB146" s="215"/>
      <c r="AC146" s="215"/>
      <c r="AD146" s="215"/>
      <c r="AE146" s="215"/>
      <c r="AF146" s="216"/>
      <c r="AG146" s="61"/>
      <c r="AH146" s="61"/>
      <c r="AI146" s="61"/>
      <c r="AJ146" s="61"/>
    </row>
    <row r="147" spans="1:36" ht="24" x14ac:dyDescent="0.85">
      <c r="A147" s="201" t="s">
        <v>36</v>
      </c>
      <c r="B147" s="202"/>
      <c r="C147" s="202"/>
      <c r="D147" s="202"/>
      <c r="E147" s="202"/>
      <c r="F147" s="202"/>
      <c r="G147" s="202"/>
      <c r="H147" s="202"/>
      <c r="I147" s="202"/>
      <c r="J147" s="202"/>
      <c r="K147" s="202"/>
      <c r="L147" s="202"/>
      <c r="M147" s="202"/>
      <c r="N147" s="202"/>
      <c r="O147" s="202"/>
      <c r="P147" s="202"/>
      <c r="Q147" s="202"/>
      <c r="R147" s="202"/>
      <c r="S147" s="202"/>
      <c r="T147" s="202"/>
      <c r="U147" s="202"/>
      <c r="V147" s="202"/>
      <c r="W147" s="202"/>
      <c r="X147" s="202"/>
      <c r="Y147" s="202"/>
      <c r="Z147" s="202"/>
      <c r="AA147" s="202"/>
      <c r="AB147" s="202"/>
      <c r="AC147" s="202"/>
      <c r="AD147" s="202"/>
      <c r="AE147" s="202"/>
      <c r="AF147" s="203"/>
    </row>
    <row r="148" spans="1:36" s="204" customFormat="1" ht="30" customHeight="1" x14ac:dyDescent="0.7">
      <c r="A148" s="438" t="s">
        <v>520</v>
      </c>
      <c r="B148" s="438"/>
      <c r="C148" s="438"/>
      <c r="D148" s="438"/>
      <c r="E148" s="438"/>
      <c r="F148" s="438"/>
      <c r="G148" s="438"/>
      <c r="H148" s="438"/>
      <c r="I148" s="438"/>
      <c r="J148" s="438"/>
      <c r="K148" s="438"/>
      <c r="L148" s="438"/>
      <c r="AG148" s="61"/>
      <c r="AH148" s="61"/>
      <c r="AI148" s="61"/>
      <c r="AJ148" s="61"/>
    </row>
    <row r="149" spans="1:36" s="204" customFormat="1" ht="74.25" customHeight="1" x14ac:dyDescent="0.7">
      <c r="A149" s="438" t="s">
        <v>521</v>
      </c>
      <c r="B149" s="438"/>
      <c r="C149" s="438"/>
      <c r="D149" s="438"/>
      <c r="E149" s="438"/>
      <c r="F149" s="438"/>
      <c r="G149" s="438"/>
      <c r="H149" s="438"/>
      <c r="I149" s="438"/>
      <c r="J149" s="438"/>
      <c r="K149" s="438"/>
      <c r="L149" s="438"/>
      <c r="AG149" s="61"/>
      <c r="AH149" s="61"/>
      <c r="AI149" s="61"/>
      <c r="AJ149" s="61"/>
    </row>
    <row r="150" spans="1:36" s="204" customFormat="1" ht="47.4" customHeight="1" x14ac:dyDescent="0.7">
      <c r="A150" s="438" t="s">
        <v>522</v>
      </c>
      <c r="B150" s="438"/>
      <c r="C150" s="438"/>
      <c r="D150" s="438"/>
      <c r="E150" s="438"/>
      <c r="F150" s="438"/>
      <c r="G150" s="438"/>
      <c r="H150" s="438"/>
      <c r="I150" s="438"/>
      <c r="J150" s="438"/>
      <c r="K150" s="438"/>
      <c r="L150" s="438"/>
      <c r="AG150" s="61"/>
      <c r="AH150" s="61"/>
      <c r="AI150" s="61"/>
      <c r="AJ150" s="61"/>
    </row>
    <row r="151" spans="1:36" s="207" customFormat="1" ht="24" x14ac:dyDescent="0.85">
      <c r="A151" s="295" t="s">
        <v>145</v>
      </c>
      <c r="B151" s="296"/>
      <c r="C151" s="296"/>
      <c r="D151" s="296"/>
      <c r="E151" s="296"/>
      <c r="F151" s="296"/>
      <c r="G151" s="296"/>
      <c r="H151" s="296"/>
      <c r="I151" s="296"/>
      <c r="J151" s="296"/>
      <c r="K151" s="296"/>
      <c r="L151" s="296"/>
      <c r="M151" s="296"/>
      <c r="N151" s="296"/>
      <c r="O151" s="296"/>
      <c r="P151" s="296"/>
      <c r="Q151" s="296"/>
      <c r="R151" s="296"/>
      <c r="S151" s="296"/>
      <c r="T151" s="296"/>
      <c r="U151" s="296"/>
      <c r="V151" s="296"/>
      <c r="W151" s="296"/>
      <c r="X151" s="296"/>
      <c r="Y151" s="296"/>
      <c r="Z151" s="296"/>
      <c r="AA151" s="296"/>
      <c r="AB151" s="296"/>
      <c r="AC151" s="296"/>
      <c r="AD151" s="296"/>
      <c r="AE151" s="300"/>
      <c r="AF151" s="204"/>
      <c r="AG151" s="61"/>
      <c r="AH151" s="61"/>
      <c r="AI151" s="61"/>
      <c r="AJ151" s="61"/>
    </row>
    <row r="152" spans="1:36" ht="25.35" customHeight="1" x14ac:dyDescent="0.7">
      <c r="A152" s="297" t="s">
        <v>45</v>
      </c>
      <c r="B152" s="278">
        <v>2021</v>
      </c>
      <c r="C152" s="278">
        <v>2022</v>
      </c>
      <c r="D152" s="278">
        <v>2023</v>
      </c>
      <c r="E152" s="278">
        <v>2024</v>
      </c>
      <c r="F152" s="278">
        <v>2025</v>
      </c>
      <c r="G152" s="278">
        <v>2026</v>
      </c>
      <c r="H152" s="278">
        <v>2027</v>
      </c>
      <c r="I152" s="278">
        <v>2028</v>
      </c>
      <c r="J152" s="278">
        <v>2029</v>
      </c>
      <c r="K152" s="278">
        <v>2030</v>
      </c>
      <c r="L152" s="278">
        <v>2031</v>
      </c>
      <c r="M152" s="278">
        <v>2032</v>
      </c>
      <c r="N152" s="278">
        <v>2033</v>
      </c>
      <c r="O152" s="278">
        <v>2034</v>
      </c>
      <c r="P152" s="278">
        <v>2035</v>
      </c>
      <c r="Q152" s="278">
        <v>2036</v>
      </c>
      <c r="R152" s="278">
        <v>2037</v>
      </c>
      <c r="S152" s="278">
        <v>2038</v>
      </c>
      <c r="T152" s="278">
        <v>2039</v>
      </c>
      <c r="U152" s="298">
        <v>2040</v>
      </c>
      <c r="V152" s="298">
        <v>2041</v>
      </c>
      <c r="W152" s="298">
        <v>2042</v>
      </c>
      <c r="X152" s="298">
        <v>2043</v>
      </c>
      <c r="Y152" s="298">
        <v>2044</v>
      </c>
      <c r="Z152" s="298">
        <v>2045</v>
      </c>
      <c r="AA152" s="298">
        <v>2046</v>
      </c>
      <c r="AB152" s="298">
        <v>2047</v>
      </c>
      <c r="AC152" s="298">
        <v>2048</v>
      </c>
      <c r="AD152" s="298">
        <v>2049</v>
      </c>
      <c r="AE152" s="2">
        <v>2050</v>
      </c>
    </row>
    <row r="153" spans="1:36" x14ac:dyDescent="0.7">
      <c r="A153" s="97" t="s">
        <v>228</v>
      </c>
      <c r="B153" s="13"/>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c r="Z153" s="101"/>
      <c r="AA153" s="101"/>
      <c r="AB153" s="101"/>
      <c r="AC153" s="101"/>
      <c r="AD153" s="101"/>
      <c r="AE153" s="102"/>
    </row>
    <row r="154" spans="1:36" x14ac:dyDescent="0.7">
      <c r="A154" s="98" t="s">
        <v>229</v>
      </c>
      <c r="B154" s="27"/>
      <c r="C154" s="99">
        <v>29.475352999999998</v>
      </c>
      <c r="D154" s="99">
        <v>30.042017000000001</v>
      </c>
      <c r="E154" s="99">
        <v>30.658791000000001</v>
      </c>
      <c r="F154" s="99">
        <v>31.324303</v>
      </c>
      <c r="G154" s="99">
        <v>32.040348000000002</v>
      </c>
      <c r="H154" s="99">
        <v>32.809382999999997</v>
      </c>
      <c r="I154" s="99">
        <v>33.640709000000001</v>
      </c>
      <c r="J154" s="99">
        <v>34.551063999999997</v>
      </c>
      <c r="K154" s="100">
        <v>35.528151999999999</v>
      </c>
      <c r="L154" s="99">
        <v>36.506976999999999</v>
      </c>
      <c r="M154" s="99">
        <v>37.520515000000003</v>
      </c>
      <c r="N154" s="99">
        <v>38.535378000000001</v>
      </c>
      <c r="O154" s="99">
        <v>39.551811000000001</v>
      </c>
      <c r="P154" s="99">
        <v>40.617092</v>
      </c>
      <c r="Q154" s="99">
        <v>41.667999000000002</v>
      </c>
      <c r="R154" s="99">
        <v>42.675773999999997</v>
      </c>
      <c r="S154" s="99">
        <v>43.594109000000003</v>
      </c>
      <c r="T154" s="99">
        <v>44.477612000000001</v>
      </c>
      <c r="U154" s="99">
        <v>45.251392000000003</v>
      </c>
      <c r="V154" s="99">
        <v>45.954563</v>
      </c>
      <c r="W154" s="99">
        <v>46.555034999999997</v>
      </c>
      <c r="X154" s="99">
        <v>47.031784000000002</v>
      </c>
      <c r="Y154" s="99">
        <v>47.434035999999999</v>
      </c>
      <c r="Z154" s="99">
        <v>47.768340999999999</v>
      </c>
      <c r="AA154" s="99">
        <v>48.051189000000001</v>
      </c>
      <c r="AB154" s="99">
        <v>48.269005</v>
      </c>
      <c r="AC154" s="99">
        <v>48.456809999999997</v>
      </c>
      <c r="AD154" s="99">
        <v>48.640450000000001</v>
      </c>
      <c r="AE154" s="100">
        <v>48.783047000000003</v>
      </c>
    </row>
    <row r="155" spans="1:36" x14ac:dyDescent="0.7">
      <c r="A155" s="93" t="s">
        <v>124</v>
      </c>
      <c r="B155" s="27"/>
      <c r="C155" s="27"/>
      <c r="D155" s="27">
        <f>(D154-C154)/C154</f>
        <v>1.92250114867158E-2</v>
      </c>
      <c r="E155" s="27">
        <f t="shared" ref="E155:AE155" si="122">(E154-D154)/D154</f>
        <v>2.0530379168615723E-2</v>
      </c>
      <c r="F155" s="27">
        <f t="shared" si="122"/>
        <v>2.1707052962395015E-2</v>
      </c>
      <c r="G155" s="27">
        <f t="shared" si="122"/>
        <v>2.2859088037808891E-2</v>
      </c>
      <c r="H155" s="27">
        <f t="shared" si="122"/>
        <v>2.4002080127219442E-2</v>
      </c>
      <c r="I155" s="27">
        <f t="shared" si="122"/>
        <v>2.5338056494387726E-2</v>
      </c>
      <c r="J155" s="27">
        <f t="shared" si="122"/>
        <v>2.7061112178105268E-2</v>
      </c>
      <c r="K155" s="27">
        <f t="shared" si="122"/>
        <v>2.827953431477543E-2</v>
      </c>
      <c r="L155" s="27">
        <f t="shared" si="122"/>
        <v>2.7550687128337002E-2</v>
      </c>
      <c r="M155" s="27">
        <f t="shared" si="122"/>
        <v>2.7762857494336057E-2</v>
      </c>
      <c r="N155" s="27">
        <f t="shared" si="122"/>
        <v>2.704821615588161E-2</v>
      </c>
      <c r="O155" s="27">
        <f t="shared" si="122"/>
        <v>2.6376619427477765E-2</v>
      </c>
      <c r="P155" s="27">
        <f t="shared" si="122"/>
        <v>2.693381094483888E-2</v>
      </c>
      <c r="Q155" s="27">
        <f t="shared" si="122"/>
        <v>2.5873516498916324E-2</v>
      </c>
      <c r="R155" s="27">
        <f t="shared" si="122"/>
        <v>2.4185826634007434E-2</v>
      </c>
      <c r="S155" s="27">
        <f t="shared" si="122"/>
        <v>2.1518883289615466E-2</v>
      </c>
      <c r="T155" s="27">
        <f t="shared" si="122"/>
        <v>2.0266568586136201E-2</v>
      </c>
      <c r="U155" s="27">
        <f t="shared" si="122"/>
        <v>1.7397067090742239E-2</v>
      </c>
      <c r="V155" s="27">
        <f t="shared" si="122"/>
        <v>1.5539212583780793E-2</v>
      </c>
      <c r="W155" s="27">
        <f t="shared" si="122"/>
        <v>1.306664585190368E-2</v>
      </c>
      <c r="X155" s="27">
        <f t="shared" si="122"/>
        <v>1.0240546484392187E-2</v>
      </c>
      <c r="Y155" s="27">
        <f t="shared" si="122"/>
        <v>8.5527693357325581E-3</v>
      </c>
      <c r="Z155" s="27">
        <f t="shared" si="122"/>
        <v>7.0477873736065916E-3</v>
      </c>
      <c r="AA155" s="27">
        <f t="shared" si="122"/>
        <v>5.9212439469062015E-3</v>
      </c>
      <c r="AB155" s="27">
        <f t="shared" si="122"/>
        <v>4.5329991730277295E-3</v>
      </c>
      <c r="AC155" s="27">
        <f t="shared" si="122"/>
        <v>3.8907990748928288E-3</v>
      </c>
      <c r="AD155" s="27">
        <f t="shared" si="122"/>
        <v>3.7897665983378606E-3</v>
      </c>
      <c r="AE155" s="27">
        <f t="shared" si="122"/>
        <v>2.9316546207940526E-3</v>
      </c>
    </row>
    <row r="156" spans="1:36" x14ac:dyDescent="0.7">
      <c r="A156" s="80" t="s">
        <v>611</v>
      </c>
      <c r="B156" s="27"/>
      <c r="C156" s="38">
        <v>21.168001</v>
      </c>
      <c r="D156" s="38">
        <v>21.630479999999999</v>
      </c>
      <c r="E156" s="38">
        <v>22.125565999999999</v>
      </c>
      <c r="F156" s="38">
        <v>22.679652999999998</v>
      </c>
      <c r="G156" s="38">
        <v>23.255997000000001</v>
      </c>
      <c r="H156" s="38">
        <v>23.844308999999999</v>
      </c>
      <c r="I156" s="38">
        <v>24.469967</v>
      </c>
      <c r="J156" s="38">
        <v>25.091771999999999</v>
      </c>
      <c r="K156" s="39">
        <v>25.704018000000001</v>
      </c>
      <c r="L156" s="38">
        <v>26.287106999999999</v>
      </c>
      <c r="M156" s="38">
        <v>26.852406999999999</v>
      </c>
      <c r="N156" s="38">
        <v>27.373128999999999</v>
      </c>
      <c r="O156" s="38">
        <v>27.881671999999998</v>
      </c>
      <c r="P156" s="38">
        <v>28.376738</v>
      </c>
      <c r="Q156" s="38">
        <v>28.860142</v>
      </c>
      <c r="R156" s="38">
        <v>29.320125999999998</v>
      </c>
      <c r="S156" s="38">
        <v>29.765809999999998</v>
      </c>
      <c r="T156" s="38">
        <v>30.198882999999999</v>
      </c>
      <c r="U156" s="38">
        <v>30.607925000000002</v>
      </c>
      <c r="V156" s="38">
        <v>30.997534000000002</v>
      </c>
      <c r="W156" s="38">
        <v>31.362221000000002</v>
      </c>
      <c r="X156" s="38">
        <v>31.691441999999999</v>
      </c>
      <c r="Y156" s="38">
        <v>31.972812999999999</v>
      </c>
      <c r="Z156" s="38">
        <v>32.219521</v>
      </c>
      <c r="AA156" s="38">
        <v>32.434181000000002</v>
      </c>
      <c r="AB156" s="38">
        <v>32.618771000000002</v>
      </c>
      <c r="AC156" s="38">
        <v>32.775764000000002</v>
      </c>
      <c r="AD156" s="38">
        <v>32.911498999999999</v>
      </c>
      <c r="AE156" s="39">
        <v>33.023063999999998</v>
      </c>
    </row>
    <row r="157" spans="1:36" x14ac:dyDescent="0.7">
      <c r="A157" s="93" t="s">
        <v>124</v>
      </c>
      <c r="B157" s="27"/>
      <c r="C157" s="27"/>
      <c r="D157" s="27">
        <f>(D156-C156)/C156</f>
        <v>2.1848024289114417E-2</v>
      </c>
      <c r="E157" s="27">
        <f t="shared" ref="E157" si="123">(E156-D156)/D156</f>
        <v>2.2888350142946462E-2</v>
      </c>
      <c r="F157" s="27">
        <f>(F156-E156)/E156</f>
        <v>2.5042839582047262E-2</v>
      </c>
      <c r="G157" s="27">
        <f t="shared" ref="G157" si="124">(G156-F156)/F156</f>
        <v>2.5412381750285266E-2</v>
      </c>
      <c r="H157" s="27">
        <f t="shared" ref="H157" si="125">(H156-G156)/G156</f>
        <v>2.5297216885605822E-2</v>
      </c>
      <c r="I157" s="27">
        <f t="shared" ref="I157" si="126">(I156-H156)/H156</f>
        <v>2.6239300958564218E-2</v>
      </c>
      <c r="J157" s="27">
        <f>(J156-I156)/I156</f>
        <v>2.5410945588933503E-2</v>
      </c>
      <c r="K157" s="27">
        <f t="shared" ref="K157" si="127">(K156-J156)/J156</f>
        <v>2.4400269538556407E-2</v>
      </c>
      <c r="L157" s="27">
        <f t="shared" ref="L157" si="128">(L156-K156)/K156</f>
        <v>2.2684741350554514E-2</v>
      </c>
      <c r="M157" s="27">
        <f t="shared" ref="M157" si="129">(M156-L156)/L156</f>
        <v>2.1504838855032644E-2</v>
      </c>
      <c r="N157" s="27">
        <f t="shared" ref="N157" si="130">(N156-M156)/M156</f>
        <v>1.9392004597576645E-2</v>
      </c>
      <c r="O157" s="27">
        <f t="shared" ref="O157" si="131">(O156-N156)/N156</f>
        <v>1.8578183005676829E-2</v>
      </c>
      <c r="P157" s="27">
        <f t="shared" ref="P157" si="132">(P156-O156)/O156</f>
        <v>1.7755965280704878E-2</v>
      </c>
      <c r="Q157" s="27">
        <f t="shared" ref="Q157" si="133">(Q156-P156)/P156</f>
        <v>1.7035220891139784E-2</v>
      </c>
      <c r="R157" s="27">
        <f t="shared" ref="R157" si="134">(R156-Q156)/Q156</f>
        <v>1.5938383116756619E-2</v>
      </c>
      <c r="S157" s="27">
        <f t="shared" ref="S157" si="135">(S156-R156)/R156</f>
        <v>1.5200616804989173E-2</v>
      </c>
      <c r="T157" s="27">
        <f t="shared" ref="T157" si="136">(T156-S156)/S156</f>
        <v>1.4549343693317947E-2</v>
      </c>
      <c r="U157" s="27">
        <f t="shared" ref="U157" si="137">(U156-T156)/T156</f>
        <v>1.354493806939823E-2</v>
      </c>
      <c r="V157" s="27">
        <f t="shared" ref="V157" si="138">(V156-U156)/U156</f>
        <v>1.2729023610715201E-2</v>
      </c>
      <c r="W157" s="27">
        <f t="shared" ref="W157" si="139">(W156-V156)/V156</f>
        <v>1.1765032663566075E-2</v>
      </c>
      <c r="X157" s="27">
        <f t="shared" ref="X157" si="140">(X156-W156)/W156</f>
        <v>1.0497375169953584E-2</v>
      </c>
      <c r="Y157" s="27">
        <f t="shared" ref="Y157" si="141">(Y156-X156)/X156</f>
        <v>8.878453684751866E-3</v>
      </c>
      <c r="Z157" s="27">
        <f t="shared" ref="Z157" si="142">(Z156-Y156)/Y156</f>
        <v>7.7161806188276805E-3</v>
      </c>
      <c r="AA157" s="27">
        <f t="shared" ref="AA157" si="143">(AA156-Z156)/Z156</f>
        <v>6.6624205865755135E-3</v>
      </c>
      <c r="AB157" s="27">
        <f t="shared" ref="AB157" si="144">(AB156-AA156)/AA156</f>
        <v>5.6912181627154397E-3</v>
      </c>
      <c r="AC157" s="27">
        <f t="shared" ref="AC157" si="145">(AC156-AB156)/AB156</f>
        <v>4.8129649029388611E-3</v>
      </c>
      <c r="AD157" s="27">
        <f t="shared" ref="AD157" si="146">(AD156-AC156)/AC156</f>
        <v>4.1413222282170696E-3</v>
      </c>
      <c r="AE157" s="27">
        <f t="shared" ref="AE157" si="147">(AE156-AD156)/AD156</f>
        <v>3.3898486361863618E-3</v>
      </c>
    </row>
    <row r="158" spans="1:36" x14ac:dyDescent="0.7">
      <c r="A158" s="97" t="s">
        <v>230</v>
      </c>
      <c r="B158" s="27"/>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c r="Z158" s="101"/>
      <c r="AA158" s="101"/>
      <c r="AB158" s="101"/>
      <c r="AC158" s="101"/>
      <c r="AD158" s="101"/>
      <c r="AE158" s="102"/>
    </row>
    <row r="159" spans="1:36" x14ac:dyDescent="0.7">
      <c r="A159" s="98" t="s">
        <v>612</v>
      </c>
      <c r="B159" s="99">
        <v>9.68</v>
      </c>
      <c r="C159" s="51">
        <f>$F159-(($F159-$B159)/($F152-$B152)*($F152-C152))</f>
        <v>9.9600000000000009</v>
      </c>
      <c r="D159" s="51">
        <f t="shared" ref="D159:E159" si="148">$F159-(($F159-$B159)/($F152-$B152)*($F152-D152))</f>
        <v>10.24</v>
      </c>
      <c r="E159" s="51">
        <f t="shared" si="148"/>
        <v>10.52</v>
      </c>
      <c r="F159" s="99">
        <v>10.8</v>
      </c>
      <c r="G159" s="51">
        <f>K159-((K159-F159)/(K152-F152)*(K152-G152))</f>
        <v>11.020000000000001</v>
      </c>
      <c r="H159" s="51">
        <f t="shared" ref="H159:J159" si="149">L159-((L159-G159)/(L152-G152)*(L152-H152))</f>
        <v>11.236000000000001</v>
      </c>
      <c r="I159" s="51">
        <f t="shared" si="149"/>
        <v>11.4488</v>
      </c>
      <c r="J159" s="51">
        <f t="shared" si="149"/>
        <v>11.659040000000001</v>
      </c>
      <c r="K159" s="100">
        <v>11.9</v>
      </c>
      <c r="L159" s="51">
        <f>$P$159-(($P$159-$K$159)/($P$152-$K$152)*($P$152-L152))</f>
        <v>12.1</v>
      </c>
      <c r="M159" s="51">
        <f t="shared" ref="M159:O159" si="150">$P$159-(($P$159-$K$159)/($P$152-$K$152)*($P$152-M152))</f>
        <v>12.3</v>
      </c>
      <c r="N159" s="51">
        <f t="shared" si="150"/>
        <v>12.5</v>
      </c>
      <c r="O159" s="51">
        <f t="shared" si="150"/>
        <v>12.700000000000001</v>
      </c>
      <c r="P159" s="99">
        <v>12.9</v>
      </c>
      <c r="Q159" s="51">
        <f>$U$159-(($U$159-$P$159)/($U$152-$P$152)*($U$152-Q152))</f>
        <v>13.040000000000001</v>
      </c>
      <c r="R159" s="51">
        <f t="shared" ref="R159:T159" si="151">$U$159-(($U$159-$P$159)/($U$152-$P$152)*($U$152-R152))</f>
        <v>13.18</v>
      </c>
      <c r="S159" s="51">
        <f t="shared" si="151"/>
        <v>13.32</v>
      </c>
      <c r="T159" s="51">
        <f t="shared" si="151"/>
        <v>13.459999999999999</v>
      </c>
      <c r="U159" s="99">
        <v>13.6</v>
      </c>
      <c r="V159" s="51">
        <f>$Z$159-(($Z$159-$U$159)/($Z$152-$U$152)*($Z$152-V152))</f>
        <v>13.719999999999999</v>
      </c>
      <c r="W159" s="51">
        <f t="shared" ref="W159:Y159" si="152">$Z$159-(($Z$159-$U$159)/($Z$152-$U$152)*($Z$152-W152))</f>
        <v>13.84</v>
      </c>
      <c r="X159" s="51">
        <f t="shared" si="152"/>
        <v>13.959999999999999</v>
      </c>
      <c r="Y159" s="51">
        <f t="shared" si="152"/>
        <v>14.08</v>
      </c>
      <c r="Z159" s="99">
        <v>14.2</v>
      </c>
      <c r="AA159" s="51">
        <f>$AE$159-(($AE$159-$Z$159)/($AE$152-$Z$152)*($AE$152-AA152))</f>
        <v>14.32</v>
      </c>
      <c r="AB159" s="51">
        <f t="shared" ref="AB159:AD159" si="153">$AE$159-(($AE$159-$Z$159)/($AE$152-$Z$152)*($AE$152-AB152))</f>
        <v>14.44</v>
      </c>
      <c r="AC159" s="51">
        <f t="shared" si="153"/>
        <v>14.56</v>
      </c>
      <c r="AD159" s="51">
        <f t="shared" si="153"/>
        <v>14.68</v>
      </c>
      <c r="AE159" s="100">
        <v>14.8</v>
      </c>
    </row>
    <row r="160" spans="1:36" x14ac:dyDescent="0.7">
      <c r="A160" s="93" t="s">
        <v>124</v>
      </c>
      <c r="B160" s="27"/>
      <c r="C160" s="27">
        <f>(C159-B159)/B159</f>
        <v>2.8925619834710863E-2</v>
      </c>
      <c r="D160" s="27">
        <f t="shared" ref="D160:F160" si="154">(D159-C159)/C159</f>
        <v>2.811244979919672E-2</v>
      </c>
      <c r="E160" s="27">
        <f t="shared" si="154"/>
        <v>2.7343749999999938E-2</v>
      </c>
      <c r="F160" s="27">
        <f t="shared" si="154"/>
        <v>2.6615969581749159E-2</v>
      </c>
      <c r="G160" s="27">
        <f t="shared" ref="G160" si="155">(G159-F159)/F159</f>
        <v>2.0370370370370428E-2</v>
      </c>
      <c r="H160" s="27">
        <f t="shared" ref="H160" si="156">(H159-G159)/G159</f>
        <v>1.9600725952813002E-2</v>
      </c>
      <c r="I160" s="27">
        <f t="shared" ref="I160" si="157">(I159-H159)/H159</f>
        <v>1.8939124243502994E-2</v>
      </c>
      <c r="J160" s="27">
        <f t="shared" ref="J160" si="158">(J159-I159)/I159</f>
        <v>1.8363496610998589E-2</v>
      </c>
      <c r="K160" s="27">
        <f t="shared" ref="K160" si="159">(K159-J159)/J159</f>
        <v>2.0667224745776615E-2</v>
      </c>
      <c r="L160" s="27">
        <f t="shared" ref="L160" si="160">(L159-K159)/K159</f>
        <v>1.6806722689075571E-2</v>
      </c>
      <c r="M160" s="27">
        <f t="shared" ref="M160" si="161">(M159-L159)/L159</f>
        <v>1.6528925619834798E-2</v>
      </c>
      <c r="N160" s="27">
        <f t="shared" ref="N160" si="162">(N159-M159)/M159</f>
        <v>1.6260162601625959E-2</v>
      </c>
      <c r="O160" s="27">
        <f t="shared" ref="O160" si="163">(O159-N159)/N159</f>
        <v>1.6000000000000084E-2</v>
      </c>
      <c r="P160" s="27">
        <f t="shared" ref="P160" si="164">(P159-O159)/O159</f>
        <v>1.5748031496062936E-2</v>
      </c>
      <c r="Q160" s="27">
        <f t="shared" ref="Q160" si="165">(Q159-P159)/P159</f>
        <v>1.0852713178294617E-2</v>
      </c>
      <c r="R160" s="27">
        <f t="shared" ref="R160" si="166">(R159-Q159)/Q159</f>
        <v>1.0736196319018312E-2</v>
      </c>
      <c r="S160" s="27">
        <f t="shared" ref="S160" si="167">(S159-R159)/R159</f>
        <v>1.0622154779969695E-2</v>
      </c>
      <c r="T160" s="27">
        <f t="shared" ref="T160" si="168">(T159-S159)/S159</f>
        <v>1.0510510510510419E-2</v>
      </c>
      <c r="U160" s="27">
        <f t="shared" ref="U160" si="169">(U159-T159)/T159</f>
        <v>1.0401188707280875E-2</v>
      </c>
      <c r="V160" s="27">
        <f t="shared" ref="V160" si="170">(V159-U159)/U159</f>
        <v>8.8235294117646485E-3</v>
      </c>
      <c r="W160" s="27">
        <f t="shared" ref="W160" si="171">(W159-V159)/V159</f>
        <v>8.7463556851312685E-3</v>
      </c>
      <c r="X160" s="27">
        <f t="shared" ref="X160" si="172">(X159-W159)/W159</f>
        <v>8.6705202312138165E-3</v>
      </c>
      <c r="Y160" s="27">
        <f t="shared" ref="Y160" si="173">(Y159-X159)/X159</f>
        <v>8.5959885386820197E-3</v>
      </c>
      <c r="Z160" s="27">
        <f t="shared" ref="Z160" si="174">(Z159-Y159)/Y159</f>
        <v>8.5227272727272166E-3</v>
      </c>
      <c r="AA160" s="27">
        <f t="shared" ref="AA160" si="175">(AA159-Z159)/Z159</f>
        <v>8.4507042253521829E-3</v>
      </c>
      <c r="AB160" s="27">
        <f t="shared" ref="AB160" si="176">(AB159-AA159)/AA159</f>
        <v>8.3798882681563706E-3</v>
      </c>
      <c r="AC160" s="27">
        <f t="shared" ref="AC160" si="177">(AC159-AB159)/AB159</f>
        <v>8.3102493074792942E-3</v>
      </c>
      <c r="AD160" s="27">
        <f t="shared" ref="AD160" si="178">(AD159-AC159)/AC159</f>
        <v>8.2417582417581882E-3</v>
      </c>
      <c r="AE160" s="27">
        <f t="shared" ref="AE160" si="179">(AE159-AD159)/AD159</f>
        <v>8.1743869209809951E-3</v>
      </c>
    </row>
    <row r="161" spans="1:36" x14ac:dyDescent="0.7">
      <c r="A161" s="97" t="s">
        <v>231</v>
      </c>
      <c r="B161" s="27"/>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c r="Z161" s="101"/>
      <c r="AA161" s="101"/>
      <c r="AB161" s="101"/>
      <c r="AC161" s="101"/>
      <c r="AD161" s="101"/>
      <c r="AE161" s="102"/>
    </row>
    <row r="162" spans="1:36" x14ac:dyDescent="0.7">
      <c r="A162" s="98" t="s">
        <v>613</v>
      </c>
      <c r="B162" s="99">
        <v>7.13</v>
      </c>
      <c r="C162" s="51">
        <f>$F162-(($F162-$B162)/($F152-$B152)*($F152-C152))</f>
        <v>7.31</v>
      </c>
      <c r="D162" s="51">
        <f t="shared" ref="D162:E162" si="180">$F162-(($F162-$B162)/($F152-$B152)*($F152-D152))</f>
        <v>7.49</v>
      </c>
      <c r="E162" s="51">
        <f t="shared" si="180"/>
        <v>7.67</v>
      </c>
      <c r="F162" s="99">
        <v>7.85</v>
      </c>
      <c r="G162" s="51">
        <f>K162-((K162-F162)/(K152-F152)*(K152-G152))</f>
        <v>8.01</v>
      </c>
      <c r="H162" s="51">
        <f t="shared" ref="H162:J162" si="181">$K162-(($K162-$F162)/($K152-$F152)*($K152-H152))</f>
        <v>8.17</v>
      </c>
      <c r="I162" s="51">
        <f t="shared" si="181"/>
        <v>8.33</v>
      </c>
      <c r="J162" s="51">
        <f t="shared" si="181"/>
        <v>8.49</v>
      </c>
      <c r="K162" s="100">
        <v>8.65</v>
      </c>
      <c r="L162" s="51">
        <f>$P$162-(($P$162-$K$162)/($P$152-$K$152)*($P$152-L152))</f>
        <v>8.8000000000000007</v>
      </c>
      <c r="M162" s="51">
        <f t="shared" ref="M162:O162" si="182">$P$162-(($P$162-$K$162)/($P$152-$K$152)*($P$152-M152))</f>
        <v>8.9500000000000011</v>
      </c>
      <c r="N162" s="51">
        <f t="shared" si="182"/>
        <v>9.1</v>
      </c>
      <c r="O162" s="51">
        <f t="shared" si="182"/>
        <v>9.25</v>
      </c>
      <c r="P162" s="99">
        <v>9.4</v>
      </c>
      <c r="Q162" s="51">
        <f>$U$162-(($U$162-$P$162)/($U$152-$P$152)*($U$152-Q152))</f>
        <v>9.4779999999999998</v>
      </c>
      <c r="R162" s="51">
        <f t="shared" ref="R162:T162" si="183">$U$162-(($U$162-$P$162)/($U$152-$P$152)*($U$152-R152))</f>
        <v>9.5559999999999992</v>
      </c>
      <c r="S162" s="51">
        <f t="shared" si="183"/>
        <v>9.6340000000000003</v>
      </c>
      <c r="T162" s="51">
        <f t="shared" si="183"/>
        <v>9.7119999999999997</v>
      </c>
      <c r="U162" s="99">
        <v>9.7899999999999991</v>
      </c>
      <c r="V162" s="51">
        <f>$Z$162-(($Z$162-$U$162)/($Z$152-$U$152)*($Z$152-V152))</f>
        <v>9.8719999999999999</v>
      </c>
      <c r="W162" s="51">
        <f t="shared" ref="W162:Y162" si="184">$Z$162-(($Z$162-$U$162)/($Z$152-$U$152)*($Z$152-W152))</f>
        <v>9.9539999999999988</v>
      </c>
      <c r="X162" s="51">
        <f t="shared" si="184"/>
        <v>10.036</v>
      </c>
      <c r="Y162" s="51">
        <f t="shared" si="184"/>
        <v>10.117999999999999</v>
      </c>
      <c r="Z162" s="99">
        <v>10.199999999999999</v>
      </c>
      <c r="AA162" s="51">
        <f>$AE$162-(($AE$162-$Z$162)/($AE$152-$Z$152)*($AE$152-AA152))</f>
        <v>10.28</v>
      </c>
      <c r="AB162" s="51">
        <f t="shared" ref="AB162:AD162" si="185">$AE$162-(($AE$162-$Z$162)/($AE$152-$Z$152)*($AE$152-AB152))</f>
        <v>10.36</v>
      </c>
      <c r="AC162" s="51">
        <f t="shared" si="185"/>
        <v>10.44</v>
      </c>
      <c r="AD162" s="51">
        <f t="shared" si="185"/>
        <v>10.52</v>
      </c>
      <c r="AE162" s="100">
        <v>10.6</v>
      </c>
    </row>
    <row r="163" spans="1:36" x14ac:dyDescent="0.7">
      <c r="A163" s="213" t="s">
        <v>124</v>
      </c>
      <c r="B163" s="144"/>
      <c r="C163" s="144">
        <f>(C162-B162)/B162</f>
        <v>2.5245441795231378E-2</v>
      </c>
      <c r="D163" s="144">
        <f>(D162-C162)/C162</f>
        <v>2.4623803009576006E-2</v>
      </c>
      <c r="E163" s="144">
        <f>(E162-D162)/D162</f>
        <v>2.4032042723631471E-2</v>
      </c>
      <c r="F163" s="144">
        <f>(F162-E162)/E162</f>
        <v>2.3468057366362413E-2</v>
      </c>
      <c r="G163" s="144">
        <f t="shared" ref="G163" si="186">(G162-F162)/F162</f>
        <v>2.0382165605095561E-2</v>
      </c>
      <c r="H163" s="144">
        <f t="shared" ref="H163" si="187">(H162-G162)/G162</f>
        <v>1.9975031210986285E-2</v>
      </c>
      <c r="I163" s="144">
        <f t="shared" ref="I163" si="188">(I162-H162)/H162</f>
        <v>1.9583843329253385E-2</v>
      </c>
      <c r="J163" s="144">
        <f t="shared" ref="J163" si="189">(J162-I162)/I162</f>
        <v>1.9207683073229308E-2</v>
      </c>
      <c r="K163" s="144">
        <f t="shared" ref="K163" si="190">(K162-J162)/J162</f>
        <v>1.8845700824499427E-2</v>
      </c>
      <c r="L163" s="144">
        <f t="shared" ref="L163" si="191">(L162-K162)/K162</f>
        <v>1.7341040462427786E-2</v>
      </c>
      <c r="M163" s="144">
        <f t="shared" ref="M163" si="192">(M162-L162)/L162</f>
        <v>1.7045454545454586E-2</v>
      </c>
      <c r="N163" s="144">
        <f t="shared" ref="N163" si="193">(N162-M162)/M162</f>
        <v>1.6759776536312689E-2</v>
      </c>
      <c r="O163" s="144">
        <f t="shared" ref="O163" si="194">(O162-N162)/N162</f>
        <v>1.6483516483516522E-2</v>
      </c>
      <c r="P163" s="144">
        <f t="shared" ref="P163" si="195">(P162-O162)/O162</f>
        <v>1.6216216216216255E-2</v>
      </c>
      <c r="Q163" s="144">
        <f t="shared" ref="Q163" si="196">(Q162-P162)/P162</f>
        <v>8.2978723404254686E-3</v>
      </c>
      <c r="R163" s="144">
        <f t="shared" ref="R163" si="197">(R162-Q162)/Q162</f>
        <v>8.2295843004852719E-3</v>
      </c>
      <c r="S163" s="144">
        <f t="shared" ref="S163" si="198">(S162-R162)/R162</f>
        <v>8.1624110506489309E-3</v>
      </c>
      <c r="T163" s="144">
        <f t="shared" ref="T163" si="199">(T162-S162)/S162</f>
        <v>8.0963255138052099E-3</v>
      </c>
      <c r="U163" s="144">
        <f t="shared" ref="U163" si="200">(U162-T162)/T162</f>
        <v>8.0313014827017512E-3</v>
      </c>
      <c r="V163" s="144">
        <f t="shared" ref="V163" si="201">(V162-U162)/U162</f>
        <v>8.375893769152272E-3</v>
      </c>
      <c r="W163" s="144">
        <f t="shared" ref="W163" si="202">(W162-V162)/V162</f>
        <v>8.3063209076173986E-3</v>
      </c>
      <c r="X163" s="144">
        <f t="shared" ref="X163" si="203">(X162-W162)/W162</f>
        <v>8.2378943138437556E-3</v>
      </c>
      <c r="Y163" s="144">
        <f t="shared" ref="Y163" si="204">(Y162-X162)/X162</f>
        <v>8.1705858907930411E-3</v>
      </c>
      <c r="Z163" s="144">
        <f t="shared" ref="Z163" si="205">(Z162-Y162)/Y162</f>
        <v>8.1043684522633681E-3</v>
      </c>
      <c r="AA163" s="144">
        <f t="shared" ref="AA163" si="206">(AA162-Z162)/Z162</f>
        <v>7.8431372549019676E-3</v>
      </c>
      <c r="AB163" s="144">
        <f t="shared" ref="AB163" si="207">(AB162-AA162)/AA162</f>
        <v>7.7821011673151821E-3</v>
      </c>
      <c r="AC163" s="144">
        <f t="shared" ref="AC163" si="208">(AC162-AB162)/AB162</f>
        <v>7.7220077220077291E-3</v>
      </c>
      <c r="AD163" s="144">
        <f t="shared" ref="AD163" si="209">(AD162-AC162)/AC162</f>
        <v>7.662835249042153E-3</v>
      </c>
      <c r="AE163" s="144">
        <f t="shared" ref="AE163" si="210">(AE162-AD162)/AD162</f>
        <v>7.6045627376425924E-3</v>
      </c>
    </row>
    <row r="164" spans="1:36" s="207" customFormat="1" ht="24" x14ac:dyDescent="0.85">
      <c r="A164" s="295" t="s">
        <v>146</v>
      </c>
      <c r="B164" s="296"/>
      <c r="C164" s="296"/>
      <c r="D164" s="296"/>
      <c r="E164" s="296"/>
      <c r="F164" s="296"/>
      <c r="G164" s="296"/>
      <c r="H164" s="296"/>
      <c r="I164" s="296"/>
      <c r="J164" s="296"/>
      <c r="K164" s="296"/>
      <c r="L164" s="296"/>
      <c r="M164" s="296"/>
      <c r="N164" s="296"/>
      <c r="O164" s="296"/>
      <c r="P164" s="296"/>
      <c r="Q164" s="296"/>
      <c r="R164" s="296"/>
      <c r="S164" s="296"/>
      <c r="T164" s="296"/>
      <c r="U164" s="296"/>
      <c r="V164" s="296"/>
      <c r="W164" s="296"/>
      <c r="X164" s="296"/>
      <c r="Y164" s="296"/>
      <c r="Z164" s="296"/>
      <c r="AA164" s="296"/>
      <c r="AB164" s="296"/>
      <c r="AC164" s="296"/>
      <c r="AD164" s="296"/>
      <c r="AE164" s="296"/>
      <c r="AF164" s="300"/>
      <c r="AG164" s="61"/>
      <c r="AH164" s="61"/>
      <c r="AI164" s="61"/>
      <c r="AJ164" s="61"/>
    </row>
    <row r="165" spans="1:36" ht="25.35" customHeight="1" x14ac:dyDescent="0.7">
      <c r="A165" s="297" t="s">
        <v>45</v>
      </c>
      <c r="B165" s="278">
        <v>2020</v>
      </c>
      <c r="C165" s="278">
        <v>2021</v>
      </c>
      <c r="D165" s="278">
        <v>2022</v>
      </c>
      <c r="E165" s="278">
        <v>2023</v>
      </c>
      <c r="F165" s="278">
        <v>2024</v>
      </c>
      <c r="G165" s="278">
        <v>2025</v>
      </c>
      <c r="H165" s="278">
        <v>2026</v>
      </c>
      <c r="I165" s="278">
        <v>2027</v>
      </c>
      <c r="J165" s="278">
        <v>2028</v>
      </c>
      <c r="K165" s="278">
        <v>2029</v>
      </c>
      <c r="L165" s="278">
        <v>2030</v>
      </c>
      <c r="M165" s="278">
        <v>2031</v>
      </c>
      <c r="N165" s="278">
        <v>2032</v>
      </c>
      <c r="O165" s="278">
        <v>2033</v>
      </c>
      <c r="P165" s="278">
        <v>2034</v>
      </c>
      <c r="Q165" s="278">
        <v>2035</v>
      </c>
      <c r="R165" s="278">
        <v>2036</v>
      </c>
      <c r="S165" s="278">
        <v>2037</v>
      </c>
      <c r="T165" s="278">
        <v>2038</v>
      </c>
      <c r="U165" s="278">
        <v>2039</v>
      </c>
      <c r="V165" s="298">
        <v>2040</v>
      </c>
      <c r="W165" s="298">
        <v>2041</v>
      </c>
      <c r="X165" s="298">
        <v>2042</v>
      </c>
      <c r="Y165" s="298">
        <v>2043</v>
      </c>
      <c r="Z165" s="298">
        <v>2044</v>
      </c>
      <c r="AA165" s="298">
        <v>2045</v>
      </c>
      <c r="AB165" s="298">
        <v>2046</v>
      </c>
      <c r="AC165" s="298">
        <v>2047</v>
      </c>
      <c r="AD165" s="298">
        <v>2048</v>
      </c>
      <c r="AE165" s="298">
        <v>2049</v>
      </c>
      <c r="AF165" s="2">
        <v>2050</v>
      </c>
    </row>
    <row r="166" spans="1:36" x14ac:dyDescent="0.7">
      <c r="A166" s="97" t="s">
        <v>228</v>
      </c>
      <c r="B166" s="13"/>
      <c r="C166" s="13"/>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c r="Z166" s="101"/>
      <c r="AA166" s="101"/>
      <c r="AB166" s="101"/>
      <c r="AC166" s="101"/>
      <c r="AD166" s="101"/>
      <c r="AE166" s="101"/>
      <c r="AF166" s="102"/>
    </row>
    <row r="167" spans="1:36" x14ac:dyDescent="0.7">
      <c r="A167" s="98" t="s">
        <v>233</v>
      </c>
      <c r="B167" s="38">
        <v>0.219</v>
      </c>
      <c r="C167" s="41">
        <f>$G$167-(($G$167-$B$167)/($G$165-$B$165))*($G$165-C165)</f>
        <v>0.2172</v>
      </c>
      <c r="D167" s="41">
        <f t="shared" ref="D167:F167" si="211">$G$167-(($G$167-$B$167)/($G$165-$B$165))*($G$165-D165)</f>
        <v>0.21540000000000001</v>
      </c>
      <c r="E167" s="41">
        <f t="shared" si="211"/>
        <v>0.21359999999999998</v>
      </c>
      <c r="F167" s="41">
        <f t="shared" si="211"/>
        <v>0.21179999999999999</v>
      </c>
      <c r="G167" s="99">
        <v>0.21</v>
      </c>
      <c r="H167" s="41">
        <f>$L$167-(($L$167-$G$167)/($L$165-$G$165))*($L$165-H165)</f>
        <v>0.20899999999999999</v>
      </c>
      <c r="I167" s="41">
        <f t="shared" ref="I167:K167" si="212">$L$167-(($L$167-$G$167)/($L$165-$G$165))*($L$165-I165)</f>
        <v>0.20799999999999999</v>
      </c>
      <c r="J167" s="41">
        <f t="shared" si="212"/>
        <v>0.20699999999999999</v>
      </c>
      <c r="K167" s="41">
        <f t="shared" si="212"/>
        <v>0.20599999999999999</v>
      </c>
      <c r="L167" s="100">
        <v>0.20499999999999999</v>
      </c>
      <c r="M167" s="41">
        <f>$Q$167-(($Q$167-$L$167)/($Q$165-$L$165))*($Q$165-M165)</f>
        <v>0.2016</v>
      </c>
      <c r="N167" s="41">
        <f t="shared" ref="N167:P167" si="213">$Q$167-(($Q$167-$L$167)/($Q$165-$L$165))*($Q$165-N165)</f>
        <v>0.19819999999999999</v>
      </c>
      <c r="O167" s="41">
        <f t="shared" si="213"/>
        <v>0.1948</v>
      </c>
      <c r="P167" s="41">
        <f t="shared" si="213"/>
        <v>0.19139999999999999</v>
      </c>
      <c r="Q167" s="99">
        <v>0.188</v>
      </c>
      <c r="R167" s="41">
        <f>$V$167-(($V$167-$Q$167)/($V$165-$Q$165))*($V$165-R165)</f>
        <v>0.18679999999999999</v>
      </c>
      <c r="S167" s="41">
        <f t="shared" ref="S167:U167" si="214">$V$167-(($V$167-$Q$167)/($V$165-$Q$165))*($V$165-S165)</f>
        <v>0.18559999999999999</v>
      </c>
      <c r="T167" s="41">
        <f t="shared" si="214"/>
        <v>0.18440000000000001</v>
      </c>
      <c r="U167" s="41">
        <f t="shared" si="214"/>
        <v>0.1832</v>
      </c>
      <c r="V167" s="99">
        <v>0.182</v>
      </c>
      <c r="W167" s="41">
        <f>$AA$167-(($AA$167-$V$167)/($AA$165-$V$165))*($AA$165-W165)</f>
        <v>0.18079999999999999</v>
      </c>
      <c r="X167" s="41">
        <f t="shared" ref="X167:Z167" si="215">$AA$167-(($AA$167-$V$167)/($AA$165-$V$165))*($AA$165-X165)</f>
        <v>0.17959999999999998</v>
      </c>
      <c r="Y167" s="41">
        <f t="shared" si="215"/>
        <v>0.1784</v>
      </c>
      <c r="Z167" s="41">
        <f t="shared" si="215"/>
        <v>0.1772</v>
      </c>
      <c r="AA167" s="99">
        <v>0.17599999999999999</v>
      </c>
      <c r="AB167" s="41">
        <f>$AF$167-(($AF$167-$AA$167)/($AF$165-$AA$165))*($AF$165-AB165)</f>
        <v>0.17479999999999998</v>
      </c>
      <c r="AC167" s="41">
        <f t="shared" ref="AC167:AE167" si="216">$AF$167-(($AF$167-$AA$167)/($AF$165-$AA$165))*($AF$165-AC165)</f>
        <v>0.1736</v>
      </c>
      <c r="AD167" s="41">
        <f t="shared" si="216"/>
        <v>0.1724</v>
      </c>
      <c r="AE167" s="41">
        <f t="shared" si="216"/>
        <v>0.17120000000000002</v>
      </c>
      <c r="AF167" s="100">
        <v>0.17</v>
      </c>
    </row>
    <row r="168" spans="1:36" x14ac:dyDescent="0.7">
      <c r="A168" s="93" t="s">
        <v>124</v>
      </c>
      <c r="B168" s="27"/>
      <c r="C168" s="27"/>
      <c r="D168" s="27"/>
      <c r="E168" s="27">
        <f>(E167-D167)/D167</f>
        <v>-8.3565459610028953E-3</v>
      </c>
      <c r="F168" s="27">
        <f t="shared" ref="F168" si="217">(F167-E167)/E167</f>
        <v>-8.4269662921348139E-3</v>
      </c>
      <c r="G168" s="27">
        <f t="shared" ref="G168" si="218">(G167-F167)/F167</f>
        <v>-8.4985835694050809E-3</v>
      </c>
      <c r="H168" s="27">
        <f t="shared" ref="H168" si="219">(H167-G167)/G167</f>
        <v>-4.7619047619047667E-3</v>
      </c>
      <c r="I168" s="27">
        <f t="shared" ref="I168" si="220">(I167-H167)/H167</f>
        <v>-4.7846889952153152E-3</v>
      </c>
      <c r="J168" s="27">
        <f t="shared" ref="J168" si="221">(J167-I167)/I167</f>
        <v>-4.8076923076923123E-3</v>
      </c>
      <c r="K168" s="27">
        <f t="shared" ref="K168" si="222">(K167-J167)/J167</f>
        <v>-4.8309178743961394E-3</v>
      </c>
      <c r="L168" s="27">
        <f t="shared" ref="L168" si="223">(L167-K167)/K167</f>
        <v>-4.8543689320388397E-3</v>
      </c>
      <c r="M168" s="27">
        <f t="shared" ref="M168" si="224">(M167-L167)/L167</f>
        <v>-1.6585365853658472E-2</v>
      </c>
      <c r="N168" s="27">
        <f t="shared" ref="N168" si="225">(N167-M167)/M167</f>
        <v>-1.6865079365079434E-2</v>
      </c>
      <c r="O168" s="27">
        <f t="shared" ref="O168" si="226">(O167-N167)/N167</f>
        <v>-1.7154389505549882E-2</v>
      </c>
      <c r="P168" s="27">
        <f t="shared" ref="P168" si="227">(P167-O167)/O167</f>
        <v>-1.7453798767967217E-2</v>
      </c>
      <c r="Q168" s="27">
        <f t="shared" ref="Q168" si="228">(Q167-P167)/P167</f>
        <v>-1.7763845350052175E-2</v>
      </c>
      <c r="R168" s="27">
        <f t="shared" ref="R168" si="229">(R167-Q167)/Q167</f>
        <v>-6.3829787234042906E-3</v>
      </c>
      <c r="S168" s="27">
        <f t="shared" ref="S168" si="230">(S167-R167)/R167</f>
        <v>-6.4239828693790505E-3</v>
      </c>
      <c r="T168" s="27">
        <f t="shared" ref="T168" si="231">(T167-S167)/S167</f>
        <v>-6.4655172413791966E-3</v>
      </c>
      <c r="U168" s="27">
        <f t="shared" ref="U168" si="232">(U167-T167)/T167</f>
        <v>-6.5075921908894063E-3</v>
      </c>
      <c r="V168" s="27">
        <f t="shared" ref="V168" si="233">(V167-U167)/U167</f>
        <v>-6.5502183406113898E-3</v>
      </c>
      <c r="W168" s="27">
        <f t="shared" ref="W168" si="234">(W167-V167)/V167</f>
        <v>-6.5934065934066298E-3</v>
      </c>
      <c r="X168" s="27">
        <f t="shared" ref="X168" si="235">(X167-W167)/W167</f>
        <v>-6.6371681415929576E-3</v>
      </c>
      <c r="Y168" s="27">
        <f t="shared" ref="Y168" si="236">(Y167-X167)/X167</f>
        <v>-6.6815144766145824E-3</v>
      </c>
      <c r="Z168" s="27">
        <f t="shared" ref="Z168" si="237">(Z167-Y167)/Y167</f>
        <v>-6.7264573991031758E-3</v>
      </c>
      <c r="AA168" s="27">
        <f t="shared" ref="AA168" si="238">(AA167-Z167)/Z167</f>
        <v>-6.7720090293454096E-3</v>
      </c>
      <c r="AB168" s="27">
        <f t="shared" ref="AB168" si="239">(AB167-AA167)/AA167</f>
        <v>-6.818181818181856E-3</v>
      </c>
      <c r="AC168" s="27">
        <f t="shared" ref="AC168" si="240">(AC167-AB167)/AB167</f>
        <v>-6.8649885583522826E-3</v>
      </c>
      <c r="AD168" s="27">
        <f t="shared" ref="AD168" si="241">(AD167-AC167)/AC167</f>
        <v>-6.9124423963134018E-3</v>
      </c>
      <c r="AE168" s="27">
        <f t="shared" ref="AE168" si="242">(AE167-AD167)/AD167</f>
        <v>-6.9605568445474412E-3</v>
      </c>
      <c r="AF168" s="27">
        <f t="shared" ref="AF168" si="243">(AF167-AE167)/AE167</f>
        <v>-7.0093457943925614E-3</v>
      </c>
    </row>
    <row r="169" spans="1:36" x14ac:dyDescent="0.7">
      <c r="A169" s="98" t="s">
        <v>234</v>
      </c>
      <c r="B169" s="38">
        <v>0.35799999999999998</v>
      </c>
      <c r="C169" s="41">
        <f>$G$169-(($G$169-$B$169)/($G$165-$B$165))*($G$165-C165)</f>
        <v>0.3548</v>
      </c>
      <c r="D169" s="41">
        <f t="shared" ref="D169:F169" si="244">$G$169-(($G$169-$B$169)/($G$165-$B$165))*($G$165-D165)</f>
        <v>0.35160000000000002</v>
      </c>
      <c r="E169" s="41">
        <f t="shared" si="244"/>
        <v>0.34839999999999999</v>
      </c>
      <c r="F169" s="41">
        <f t="shared" si="244"/>
        <v>0.34520000000000001</v>
      </c>
      <c r="G169" s="99">
        <v>0.34200000000000003</v>
      </c>
      <c r="H169" s="41">
        <f>$L$169-(($L$169-$G$169)/($L$165-$G$165))*($L$165-H165)</f>
        <v>0.34060000000000001</v>
      </c>
      <c r="I169" s="41">
        <f t="shared" ref="I169:K169" si="245">$L$169-(($L$169-$G$169)/($L$165-$G$165))*($L$165-I165)</f>
        <v>0.3392</v>
      </c>
      <c r="J169" s="41">
        <f t="shared" si="245"/>
        <v>0.33780000000000004</v>
      </c>
      <c r="K169" s="41">
        <f t="shared" si="245"/>
        <v>0.33640000000000003</v>
      </c>
      <c r="L169" s="100">
        <v>0.33500000000000002</v>
      </c>
      <c r="M169" s="41">
        <f>$Q$169-(($Q$169-$L$169)/($Q$165-$L$165))*($Q$165-M165)</f>
        <v>0.32900000000000001</v>
      </c>
      <c r="N169" s="41">
        <f t="shared" ref="N169:P169" si="246">$Q$169-(($Q$169-$L$169)/($Q$165-$L$165))*($Q$165-N165)</f>
        <v>0.32300000000000001</v>
      </c>
      <c r="O169" s="41">
        <f t="shared" si="246"/>
        <v>0.317</v>
      </c>
      <c r="P169" s="41">
        <f t="shared" si="246"/>
        <v>0.311</v>
      </c>
      <c r="Q169" s="99">
        <v>0.30499999999999999</v>
      </c>
      <c r="R169" s="41">
        <f>$V$169-(($V$169-$Q$169)/($V$165-$Q$165))*($V$165-R165)</f>
        <v>0.30299999999999999</v>
      </c>
      <c r="S169" s="41">
        <f t="shared" ref="S169:U169" si="247">$V$169-(($V$169-$Q$169)/($V$165-$Q$165))*($V$165-S165)</f>
        <v>0.30099999999999999</v>
      </c>
      <c r="T169" s="41">
        <f t="shared" si="247"/>
        <v>0.29899999999999999</v>
      </c>
      <c r="U169" s="41">
        <f t="shared" si="247"/>
        <v>0.29699999999999999</v>
      </c>
      <c r="V169" s="99">
        <v>0.29499999999999998</v>
      </c>
      <c r="W169" s="41">
        <f>$AA$169-(($AA$169-$V$169)/($AA$165-$V$165))*($AA$165-W165)</f>
        <v>0.29299999999999998</v>
      </c>
      <c r="X169" s="41">
        <f t="shared" ref="X169:Z169" si="248">$AA$169-(($AA$169-$V$169)/($AA$165-$V$165))*($AA$165-X165)</f>
        <v>0.29099999999999998</v>
      </c>
      <c r="Y169" s="41">
        <f t="shared" si="248"/>
        <v>0.28899999999999998</v>
      </c>
      <c r="Z169" s="41">
        <f t="shared" si="248"/>
        <v>0.28699999999999998</v>
      </c>
      <c r="AA169" s="99">
        <v>0.28499999999999998</v>
      </c>
      <c r="AB169" s="41">
        <f>$AF$169-(($AF$169-$AA$169)/($AF$165-$AA$165))*($AF$165-AB165)</f>
        <v>0.2828</v>
      </c>
      <c r="AC169" s="41">
        <f t="shared" ref="AC169:AE169" si="249">$AF$169-(($AF$169-$AA$169)/($AF$165-$AA$165))*($AF$165-AC165)</f>
        <v>0.28060000000000002</v>
      </c>
      <c r="AD169" s="41">
        <f t="shared" si="249"/>
        <v>0.27839999999999998</v>
      </c>
      <c r="AE169" s="41">
        <f t="shared" si="249"/>
        <v>0.2762</v>
      </c>
      <c r="AF169" s="100">
        <v>0.27400000000000002</v>
      </c>
    </row>
    <row r="170" spans="1:36" x14ac:dyDescent="0.7">
      <c r="A170" s="93" t="s">
        <v>124</v>
      </c>
      <c r="B170" s="27"/>
      <c r="C170" s="27"/>
      <c r="D170" s="27"/>
      <c r="E170" s="27">
        <f>(E169-D169)/D169</f>
        <v>-9.1012514220706366E-3</v>
      </c>
      <c r="F170" s="27">
        <f t="shared" ref="F170" si="250">(F169-E169)/E169</f>
        <v>-9.1848450057404728E-3</v>
      </c>
      <c r="G170" s="27">
        <f>(G169-F169)/F169</f>
        <v>-9.2699884125144287E-3</v>
      </c>
      <c r="H170" s="27">
        <f t="shared" ref="H170" si="251">(H169-G169)/G169</f>
        <v>-4.0935672514620242E-3</v>
      </c>
      <c r="I170" s="27">
        <f t="shared" ref="I170" si="252">(I169-H169)/H169</f>
        <v>-4.1103934233705586E-3</v>
      </c>
      <c r="J170" s="27">
        <f t="shared" ref="J170" si="253">(J169-I169)/I169</f>
        <v>-4.1273584905659102E-3</v>
      </c>
      <c r="K170" s="27">
        <f>(K169-J169)/J169</f>
        <v>-4.144464179988195E-3</v>
      </c>
      <c r="L170" s="27">
        <f t="shared" ref="L170" si="254">(L169-K169)/K169</f>
        <v>-4.16171224732465E-3</v>
      </c>
      <c r="M170" s="27">
        <f t="shared" ref="M170" si="255">(M169-L169)/L169</f>
        <v>-1.7910447761194045E-2</v>
      </c>
      <c r="N170" s="27">
        <f t="shared" ref="N170" si="256">(N169-M169)/M169</f>
        <v>-1.8237082066869317E-2</v>
      </c>
      <c r="O170" s="27">
        <f t="shared" ref="O170" si="257">(O169-N169)/N169</f>
        <v>-1.8575851393188871E-2</v>
      </c>
      <c r="P170" s="27">
        <f t="shared" ref="P170" si="258">(P169-O169)/O169</f>
        <v>-1.8927444794952699E-2</v>
      </c>
      <c r="Q170" s="27">
        <f t="shared" ref="Q170" si="259">(Q169-P169)/P169</f>
        <v>-1.9292604501607736E-2</v>
      </c>
      <c r="R170" s="27">
        <f t="shared" ref="R170" si="260">(R169-Q169)/Q169</f>
        <v>-6.5573770491803339E-3</v>
      </c>
      <c r="S170" s="27">
        <f t="shared" ref="S170" si="261">(S169-R169)/R169</f>
        <v>-6.6006600660066068E-3</v>
      </c>
      <c r="T170" s="27">
        <f t="shared" ref="T170" si="262">(T169-S169)/S169</f>
        <v>-6.6445182724252554E-3</v>
      </c>
      <c r="U170" s="27">
        <f t="shared" ref="U170" si="263">(U169-T169)/T169</f>
        <v>-6.6889632107023471E-3</v>
      </c>
      <c r="V170" s="27">
        <f t="shared" ref="V170" si="264">(V169-U169)/U169</f>
        <v>-6.7340067340067407E-3</v>
      </c>
      <c r="W170" s="27">
        <f t="shared" ref="W170" si="265">(W169-V169)/V169</f>
        <v>-6.7796610169491593E-3</v>
      </c>
      <c r="X170" s="27">
        <f t="shared" ref="X170" si="266">(X169-W169)/W169</f>
        <v>-6.8259385665529072E-3</v>
      </c>
      <c r="Y170" s="27">
        <f t="shared" ref="Y170" si="267">(Y169-X169)/X169</f>
        <v>-6.8728522336769828E-3</v>
      </c>
      <c r="Z170" s="27">
        <f t="shared" ref="Z170" si="268">(Z169-Y169)/Y169</f>
        <v>-6.9204152249135011E-3</v>
      </c>
      <c r="AA170" s="27">
        <f t="shared" ref="AA170" si="269">(AA169-Z169)/Z169</f>
        <v>-6.9686411149825853E-3</v>
      </c>
      <c r="AB170" s="27">
        <f t="shared" ref="AB170" si="270">(AB169-AA169)/AA169</f>
        <v>-7.7192982456139644E-3</v>
      </c>
      <c r="AC170" s="27">
        <f t="shared" ref="AC170" si="271">(AC169-AB169)/AB169</f>
        <v>-7.7793493635077079E-3</v>
      </c>
      <c r="AD170" s="27">
        <f t="shared" ref="AD170" si="272">(AD169-AC169)/AC169</f>
        <v>-7.8403421240200825E-3</v>
      </c>
      <c r="AE170" s="27">
        <f t="shared" ref="AE170" si="273">(AE169-AD169)/AD169</f>
        <v>-7.9022988505746405E-3</v>
      </c>
      <c r="AF170" s="27">
        <f t="shared" ref="AF170" si="274">(AF169-AE169)/AE169</f>
        <v>-7.9652425778420702E-3</v>
      </c>
    </row>
    <row r="171" spans="1:36" x14ac:dyDescent="0.7">
      <c r="A171" s="97" t="s">
        <v>230</v>
      </c>
      <c r="B171" s="27"/>
      <c r="C171" s="27"/>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c r="Z171" s="101"/>
      <c r="AA171" s="101"/>
      <c r="AB171" s="101"/>
      <c r="AC171" s="101"/>
      <c r="AD171" s="101"/>
      <c r="AE171" s="101"/>
      <c r="AF171" s="102"/>
    </row>
    <row r="172" spans="1:36" x14ac:dyDescent="0.7">
      <c r="A172" s="98" t="s">
        <v>232</v>
      </c>
      <c r="B172" s="27"/>
      <c r="C172" s="99">
        <v>1.56</v>
      </c>
      <c r="D172" s="103">
        <f>$G172-(($G172-$C172)/($G165-$C165)*($G165-D165))</f>
        <v>1.53</v>
      </c>
      <c r="E172" s="103">
        <f>$G172-(($G172-$C172)/($G165-$C165)*($G165-E165))</f>
        <v>1.5</v>
      </c>
      <c r="F172" s="103">
        <f>$G172-(($G172-$C172)/($G165-$C165)*($G165-F165))</f>
        <v>1.47</v>
      </c>
      <c r="G172" s="99">
        <v>1.44</v>
      </c>
      <c r="H172" s="103">
        <f>$L$172-(($L$172-$G$172)/($L$165-$G$165)*($L$165-H165))</f>
        <v>1.4159999999999999</v>
      </c>
      <c r="I172" s="103">
        <f>$L$172-(($L$172-$G$172)/($L$165-$G$165)*($L$165-I165))</f>
        <v>1.3919999999999999</v>
      </c>
      <c r="J172" s="103">
        <f>$L$172-(($L$172-$G$172)/($L$165-$G$165)*($L$165-J165))</f>
        <v>1.3680000000000001</v>
      </c>
      <c r="K172" s="103">
        <f>$L$172-(($L$172-$G$172)/($L$165-$G$165)*($L$165-K165))</f>
        <v>1.3440000000000001</v>
      </c>
      <c r="L172" s="100">
        <v>1.32</v>
      </c>
      <c r="M172" s="103">
        <f>$Q$172-(($Q$172-$L$172)/($Q$165-$L$165)*($Q$165-M165))</f>
        <v>1.298</v>
      </c>
      <c r="N172" s="103">
        <f>$Q$172-(($Q$172-$L$172)/($Q$165-$L$165)*($Q$165-N165))</f>
        <v>1.276</v>
      </c>
      <c r="O172" s="103">
        <f>$Q$172-(($Q$172-$L$172)/($Q$165-$L$165)*($Q$165-O165))</f>
        <v>1.254</v>
      </c>
      <c r="P172" s="103">
        <f>$Q$172-(($Q$172-$L$172)/($Q$165-$L$165)*($Q$165-P165))</f>
        <v>1.232</v>
      </c>
      <c r="Q172" s="99">
        <v>1.21</v>
      </c>
      <c r="R172" s="103">
        <f>$V$172-(($V$172-$Q$172)/($V$165-$Q$165)*($V$165-R165))</f>
        <v>1.202</v>
      </c>
      <c r="S172" s="103">
        <f>$V$172-(($V$172-$Q$172)/($V$165-$Q$165)*($V$165-S165))</f>
        <v>1.194</v>
      </c>
      <c r="T172" s="103">
        <f>$V$172-(($V$172-$Q$172)/($V$165-$Q$165)*($V$165-T165))</f>
        <v>1.1859999999999999</v>
      </c>
      <c r="U172" s="103">
        <f>$V$172-(($V$172-$Q$172)/($V$165-$Q$165)*($V$165-U165))</f>
        <v>1.1779999999999999</v>
      </c>
      <c r="V172" s="99">
        <v>1.17</v>
      </c>
      <c r="W172" s="103">
        <f>$AA$172-(($AA$172-$V$172)/($AA$165-$V$165)*($AA$165-W165))</f>
        <v>1.1639999999999999</v>
      </c>
      <c r="X172" s="103">
        <f>$AA$172-(($AA$172-$V$172)/($AA$165-$V$165)*($AA$165-X165))</f>
        <v>1.1579999999999999</v>
      </c>
      <c r="Y172" s="103">
        <f>$AA$172-(($AA$172-$V$172)/($AA$165-$V$165)*($AA$165-Y165))</f>
        <v>1.1519999999999999</v>
      </c>
      <c r="Z172" s="103">
        <f>$AA$172-(($AA$172-$V$172)/($AA$165-$V$165)*($AA$165-Z165))</f>
        <v>1.1459999999999999</v>
      </c>
      <c r="AA172" s="99">
        <v>1.1399999999999999</v>
      </c>
      <c r="AB172" s="103">
        <f>$AF$172-(($AF$172-$AA$172)/($AF$165-$AA$165)*($AF$165-AB165))</f>
        <v>1.1319999999999999</v>
      </c>
      <c r="AC172" s="103">
        <f>$AF$172-(($AF$172-$AA$172)/($AF$165-$AA$165)*($AF$165-AC165))</f>
        <v>1.1239999999999999</v>
      </c>
      <c r="AD172" s="103">
        <f>$AF$172-(($AF$172-$AA$172)/($AF$165-$AA$165)*($AF$165-AD165))</f>
        <v>1.1160000000000001</v>
      </c>
      <c r="AE172" s="103">
        <f>$AF$172-(($AF$172-$AA$172)/($AF$165-$AA$165)*($AF$165-AE165))</f>
        <v>1.1080000000000001</v>
      </c>
      <c r="AF172" s="100">
        <v>1.1000000000000001</v>
      </c>
    </row>
    <row r="173" spans="1:36" x14ac:dyDescent="0.7">
      <c r="A173" s="93" t="s">
        <v>124</v>
      </c>
      <c r="B173" s="27"/>
      <c r="C173" s="27"/>
      <c r="D173" s="27">
        <f>(D172-C172)/C172</f>
        <v>-1.9230769230769246E-2</v>
      </c>
      <c r="E173" s="27">
        <f t="shared" ref="E173:AE173" si="275">(E172-D172)/D172</f>
        <v>-1.9607843137254919E-2</v>
      </c>
      <c r="F173" s="27">
        <f t="shared" si="275"/>
        <v>-2.0000000000000018E-2</v>
      </c>
      <c r="G173" s="27">
        <f t="shared" si="275"/>
        <v>-2.0408163265306142E-2</v>
      </c>
      <c r="H173" s="27">
        <f t="shared" si="275"/>
        <v>-1.6666666666666684E-2</v>
      </c>
      <c r="I173" s="27">
        <f t="shared" si="275"/>
        <v>-1.6949152542372899E-2</v>
      </c>
      <c r="J173" s="27">
        <f t="shared" si="275"/>
        <v>-1.7241379310344685E-2</v>
      </c>
      <c r="K173" s="27">
        <f t="shared" si="275"/>
        <v>-1.754385964912282E-2</v>
      </c>
      <c r="L173" s="27">
        <f t="shared" si="275"/>
        <v>-1.7857142857142873E-2</v>
      </c>
      <c r="M173" s="27">
        <f t="shared" si="275"/>
        <v>-1.666666666666668E-2</v>
      </c>
      <c r="N173" s="27">
        <f t="shared" si="275"/>
        <v>-1.6949152542372895E-2</v>
      </c>
      <c r="O173" s="27">
        <f t="shared" si="275"/>
        <v>-1.7241379310344841E-2</v>
      </c>
      <c r="P173" s="27">
        <f t="shared" si="275"/>
        <v>-1.7543859649122823E-2</v>
      </c>
      <c r="Q173" s="27">
        <f t="shared" si="275"/>
        <v>-1.7857142857142873E-2</v>
      </c>
      <c r="R173" s="27">
        <f t="shared" si="275"/>
        <v>-6.6115702479338902E-3</v>
      </c>
      <c r="S173" s="27">
        <f t="shared" si="275"/>
        <v>-6.6555740432612375E-3</v>
      </c>
      <c r="T173" s="27">
        <f t="shared" si="275"/>
        <v>-6.7001675041876109E-3</v>
      </c>
      <c r="U173" s="27">
        <f t="shared" si="275"/>
        <v>-6.7453625632377806E-3</v>
      </c>
      <c r="V173" s="27">
        <f t="shared" si="275"/>
        <v>-6.7911714770798022E-3</v>
      </c>
      <c r="W173" s="27">
        <f t="shared" si="275"/>
        <v>-5.1282051282051334E-3</v>
      </c>
      <c r="X173" s="27">
        <f t="shared" si="275"/>
        <v>-5.1546391752577371E-3</v>
      </c>
      <c r="Y173" s="27">
        <f t="shared" si="275"/>
        <v>-5.1813471502590728E-3</v>
      </c>
      <c r="Z173" s="27">
        <f t="shared" si="275"/>
        <v>-5.2083333333333382E-3</v>
      </c>
      <c r="AA173" s="27">
        <f t="shared" si="275"/>
        <v>-5.2356020942408424E-3</v>
      </c>
      <c r="AB173" s="27">
        <f t="shared" si="275"/>
        <v>-7.0175438596491299E-3</v>
      </c>
      <c r="AC173" s="27">
        <f t="shared" si="275"/>
        <v>-7.067137809187286E-3</v>
      </c>
      <c r="AD173" s="27">
        <f t="shared" si="275"/>
        <v>-7.1174377224197385E-3</v>
      </c>
      <c r="AE173" s="27">
        <f t="shared" si="275"/>
        <v>-7.1684587813620132E-3</v>
      </c>
      <c r="AF173" s="27">
        <f>(AF172-AE172)/AE172</f>
        <v>-7.2202166064982004E-3</v>
      </c>
    </row>
    <row r="174" spans="1:36" x14ac:dyDescent="0.7">
      <c r="A174" s="97" t="s">
        <v>231</v>
      </c>
      <c r="B174" s="27"/>
      <c r="C174" s="27"/>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c r="Z174" s="101"/>
      <c r="AA174" s="101"/>
      <c r="AB174" s="101"/>
      <c r="AC174" s="101"/>
      <c r="AD174" s="101"/>
      <c r="AE174" s="101"/>
      <c r="AF174" s="102"/>
    </row>
    <row r="175" spans="1:36" x14ac:dyDescent="0.7">
      <c r="A175" s="98" t="s">
        <v>614</v>
      </c>
      <c r="B175" s="27"/>
      <c r="C175" s="99">
        <v>2.59</v>
      </c>
      <c r="D175" s="103">
        <f>$G175-(($G175-$C175)/($G165-$C165)*($G165-D165))</f>
        <v>2.5299999999999998</v>
      </c>
      <c r="E175" s="103">
        <f>$G175-(($G175-$C175)/($G165-$C165)*($G165-E165))</f>
        <v>2.4699999999999998</v>
      </c>
      <c r="F175" s="103">
        <f>$G175-(($G175-$C175)/($G165-$C165)*($G165-F165))</f>
        <v>2.41</v>
      </c>
      <c r="G175" s="99">
        <v>2.35</v>
      </c>
      <c r="H175" s="103">
        <f>$L$175-(($L$175-$G$175)/($L$165-$G$165)*($L$165-H165))</f>
        <v>2.302</v>
      </c>
      <c r="I175" s="103">
        <f t="shared" ref="I175:K175" si="276">$L$175-(($L$175-$G$175)/($L$165-$G$165)*($L$165-I165))</f>
        <v>2.254</v>
      </c>
      <c r="J175" s="103">
        <f t="shared" si="276"/>
        <v>2.206</v>
      </c>
      <c r="K175" s="103">
        <f t="shared" si="276"/>
        <v>2.1579999999999999</v>
      </c>
      <c r="L175" s="100">
        <v>2.11</v>
      </c>
      <c r="M175" s="103">
        <f>$Q$175-(($Q$175-$L$175)/($Q$165-$L$165)*($Q$165-M165))</f>
        <v>2.0699999999999998</v>
      </c>
      <c r="N175" s="103">
        <f t="shared" ref="N175:P175" si="277">$Q$175-(($Q$175-$L$175)/($Q$165-$L$165)*($Q$165-N165))</f>
        <v>2.0299999999999998</v>
      </c>
      <c r="O175" s="103">
        <f t="shared" si="277"/>
        <v>1.99</v>
      </c>
      <c r="P175" s="103">
        <f t="shared" si="277"/>
        <v>1.95</v>
      </c>
      <c r="Q175" s="99">
        <v>1.91</v>
      </c>
      <c r="R175" s="103">
        <f>$V$175-(($V$175-$Q$175)/($V$165-$Q$165)*($V$165-R165))</f>
        <v>1.8959999999999999</v>
      </c>
      <c r="S175" s="103">
        <f t="shared" ref="S175:U175" si="278">$V$175-(($V$175-$Q$175)/($V$165-$Q$165)*($V$165-S165))</f>
        <v>1.8819999999999999</v>
      </c>
      <c r="T175" s="103">
        <f t="shared" si="278"/>
        <v>1.8680000000000001</v>
      </c>
      <c r="U175" s="103">
        <f t="shared" si="278"/>
        <v>1.8540000000000001</v>
      </c>
      <c r="V175" s="99">
        <v>1.84</v>
      </c>
      <c r="W175" s="103">
        <f>$AA$175-(($AA$175-$V$175)/($AA$165-$V$165)*($AA$165-W165))</f>
        <v>1.8260000000000001</v>
      </c>
      <c r="X175" s="103">
        <f t="shared" ref="X175:Z175" si="279">$AA$175-(($AA$175-$V$175)/($AA$165-$V$165)*($AA$165-X165))</f>
        <v>1.8120000000000001</v>
      </c>
      <c r="Y175" s="103">
        <f t="shared" si="279"/>
        <v>1.798</v>
      </c>
      <c r="Z175" s="103">
        <f t="shared" si="279"/>
        <v>1.784</v>
      </c>
      <c r="AA175" s="99">
        <v>1.77</v>
      </c>
      <c r="AB175" s="103">
        <f>$AF$175-(($AF$175-$AA$175)/($AF$165-$AA$165)*($AF$165-AB165))</f>
        <v>1.756</v>
      </c>
      <c r="AC175" s="103">
        <f t="shared" ref="AC175:AE175" si="280">$AF$175-(($AF$175-$AA$175)/($AF$165-$AA$165)*($AF$165-AC165))</f>
        <v>1.742</v>
      </c>
      <c r="AD175" s="103">
        <f t="shared" si="280"/>
        <v>1.728</v>
      </c>
      <c r="AE175" s="103">
        <f t="shared" si="280"/>
        <v>1.714</v>
      </c>
      <c r="AF175" s="100">
        <v>1.7</v>
      </c>
    </row>
    <row r="176" spans="1:36" x14ac:dyDescent="0.7">
      <c r="A176" s="93" t="s">
        <v>124</v>
      </c>
      <c r="B176" s="27"/>
      <c r="C176" s="27"/>
      <c r="D176" s="27">
        <f>(D175-C175)/C175</f>
        <v>-2.3166023166023189E-2</v>
      </c>
      <c r="E176" s="27">
        <f>(E175-D175)/D175</f>
        <v>-2.3715415019762869E-2</v>
      </c>
      <c r="F176" s="27">
        <f>(F175-E175)/E175</f>
        <v>-2.4291497975708346E-2</v>
      </c>
      <c r="G176" s="27">
        <f>(G175-F175)/F175</f>
        <v>-2.4896265560165994E-2</v>
      </c>
      <c r="H176" s="27">
        <f t="shared" ref="H176" si="281">(H175-G175)/G175</f>
        <v>-2.0425531914893633E-2</v>
      </c>
      <c r="I176" s="27">
        <f t="shared" ref="I176" si="282">(I175-H175)/H175</f>
        <v>-2.0851433536055623E-2</v>
      </c>
      <c r="J176" s="27">
        <f t="shared" ref="J176" si="283">(J175-I175)/I175</f>
        <v>-2.12954747116238E-2</v>
      </c>
      <c r="K176" s="27">
        <f t="shared" ref="K176" si="284">(K175-J175)/J175</f>
        <v>-2.1758839528558498E-2</v>
      </c>
      <c r="L176" s="27">
        <f t="shared" ref="L176" si="285">(L175-K175)/K175</f>
        <v>-2.2242817423540336E-2</v>
      </c>
      <c r="M176" s="27">
        <f t="shared" ref="M176" si="286">(M175-L175)/L175</f>
        <v>-1.8957345971564E-2</v>
      </c>
      <c r="N176" s="27">
        <f t="shared" ref="N176" si="287">(N175-M175)/M175</f>
        <v>-1.9323671497584561E-2</v>
      </c>
      <c r="O176" s="27">
        <f t="shared" ref="O176" si="288">(O175-N175)/N175</f>
        <v>-1.9704433497536856E-2</v>
      </c>
      <c r="P176" s="27">
        <f t="shared" ref="P176" si="289">(P175-O175)/O175</f>
        <v>-2.0100502512562832E-2</v>
      </c>
      <c r="Q176" s="27">
        <f t="shared" ref="Q176" si="290">(Q175-P175)/P175</f>
        <v>-2.051282051282053E-2</v>
      </c>
      <c r="R176" s="27">
        <f t="shared" ref="R176" si="291">(R175-Q175)/Q175</f>
        <v>-7.3298429319371798E-3</v>
      </c>
      <c r="S176" s="27">
        <f t="shared" ref="S176" si="292">(S175-R175)/R175</f>
        <v>-7.3839662447257454E-3</v>
      </c>
      <c r="T176" s="27">
        <f t="shared" ref="T176" si="293">(T175-S175)/S175</f>
        <v>-7.438894792773534E-3</v>
      </c>
      <c r="U176" s="27">
        <f t="shared" ref="U176" si="294">(U175-T175)/T175</f>
        <v>-7.4946466809421904E-3</v>
      </c>
      <c r="V176" s="27">
        <f t="shared" ref="V176" si="295">(V175-U175)/U175</f>
        <v>-7.5512405609493051E-3</v>
      </c>
      <c r="W176" s="27">
        <f t="shared" ref="W176" si="296">(W175-V175)/V175</f>
        <v>-7.6086956521739194E-3</v>
      </c>
      <c r="X176" s="27">
        <f t="shared" ref="X176" si="297">(X175-W175)/W175</f>
        <v>-7.6670317634173124E-3</v>
      </c>
      <c r="Y176" s="27">
        <f t="shared" ref="Y176" si="298">(Y175-X175)/X175</f>
        <v>-7.7262693156732957E-3</v>
      </c>
      <c r="Z176" s="27">
        <f t="shared" ref="Z176" si="299">(Z175-Y175)/Y175</f>
        <v>-7.7864293659621869E-3</v>
      </c>
      <c r="AA176" s="27">
        <f t="shared" ref="AA176" si="300">(AA175-Z175)/Z175</f>
        <v>-7.8475336322870026E-3</v>
      </c>
      <c r="AB176" s="27">
        <f t="shared" ref="AB176" si="301">(AB175-AA175)/AA175</f>
        <v>-7.9096045197740179E-3</v>
      </c>
      <c r="AC176" s="27">
        <f t="shared" ref="AC176" si="302">(AC175-AB175)/AB175</f>
        <v>-7.972665148063789E-3</v>
      </c>
      <c r="AD176" s="27">
        <f t="shared" ref="AD176" si="303">(AD175-AC175)/AC175</f>
        <v>-8.036739380022969E-3</v>
      </c>
      <c r="AE176" s="27">
        <f t="shared" ref="AE176" si="304">(AE175-AD175)/AD175</f>
        <v>-8.1018518518518583E-3</v>
      </c>
      <c r="AF176" s="27">
        <f t="shared" ref="AF176" si="305">(AF175-AE175)/AE175</f>
        <v>-8.1680280046674512E-3</v>
      </c>
    </row>
    <row r="177" spans="1:36" s="28" customFormat="1" x14ac:dyDescent="0.3">
      <c r="A177" s="539"/>
      <c r="B177" s="539"/>
      <c r="C177" s="539"/>
      <c r="D177" s="539"/>
      <c r="E177" s="539"/>
      <c r="F177" s="539"/>
      <c r="G177" s="539"/>
      <c r="H177" s="539"/>
      <c r="I177" s="539"/>
      <c r="J177" s="539"/>
      <c r="K177" s="539"/>
      <c r="L177" s="539"/>
      <c r="M177" s="30"/>
      <c r="N177" s="45"/>
      <c r="O177" s="45"/>
      <c r="P177" s="45"/>
      <c r="Q177" s="45"/>
      <c r="R177" s="45"/>
      <c r="S177" s="45"/>
      <c r="T177" s="45"/>
      <c r="U177" s="45"/>
    </row>
    <row r="178" spans="1:36" s="16" customFormat="1" ht="26.4" x14ac:dyDescent="0.9">
      <c r="A178" s="77" t="s">
        <v>126</v>
      </c>
      <c r="B178" s="78"/>
      <c r="C178" s="78"/>
      <c r="D178" s="78"/>
      <c r="E178" s="78"/>
      <c r="F178" s="78"/>
      <c r="G178" s="78"/>
      <c r="H178" s="78"/>
      <c r="I178" s="78"/>
      <c r="J178" s="78"/>
      <c r="K178" s="78"/>
      <c r="L178" s="78"/>
      <c r="M178" s="78"/>
      <c r="N178" s="78"/>
      <c r="O178" s="78"/>
      <c r="P178" s="78"/>
      <c r="Q178" s="78"/>
      <c r="R178" s="78"/>
      <c r="S178" s="78"/>
      <c r="T178" s="78"/>
      <c r="U178" s="78"/>
      <c r="V178" s="78"/>
      <c r="W178" s="78"/>
      <c r="X178" s="78"/>
      <c r="Y178" s="78"/>
      <c r="Z178" s="78"/>
      <c r="AA178" s="78"/>
      <c r="AB178" s="78"/>
      <c r="AC178" s="78"/>
      <c r="AD178" s="78"/>
      <c r="AE178" s="79"/>
      <c r="AF178" s="33"/>
      <c r="AG178" s="33"/>
      <c r="AH178" s="33"/>
      <c r="AI178" s="33"/>
      <c r="AJ178" s="33"/>
    </row>
    <row r="179" spans="1:36" ht="24" x14ac:dyDescent="0.85">
      <c r="A179" s="217" t="s">
        <v>36</v>
      </c>
      <c r="B179" s="218"/>
      <c r="C179" s="218"/>
      <c r="D179" s="218"/>
      <c r="E179" s="218"/>
      <c r="F179" s="218"/>
      <c r="G179" s="218"/>
      <c r="H179" s="218"/>
      <c r="I179" s="218"/>
      <c r="J179" s="218"/>
      <c r="K179" s="218"/>
      <c r="L179" s="218"/>
      <c r="M179" s="218"/>
      <c r="N179" s="218"/>
      <c r="O179" s="218"/>
      <c r="P179" s="218"/>
      <c r="Q179" s="218"/>
      <c r="R179" s="218"/>
      <c r="S179" s="218"/>
      <c r="T179" s="218"/>
      <c r="U179" s="218"/>
      <c r="V179" s="218"/>
      <c r="W179" s="218"/>
      <c r="X179" s="218"/>
      <c r="Y179" s="218"/>
      <c r="Z179" s="218"/>
      <c r="AA179" s="218"/>
      <c r="AB179" s="218"/>
      <c r="AC179" s="218"/>
      <c r="AD179" s="218"/>
      <c r="AE179" s="219"/>
      <c r="AF179" s="33"/>
      <c r="AG179" s="33"/>
      <c r="AH179" s="33"/>
      <c r="AI179" s="33"/>
      <c r="AJ179" s="33"/>
    </row>
    <row r="180" spans="1:36" s="28" customFormat="1" ht="72.75" customHeight="1" x14ac:dyDescent="0.3">
      <c r="A180" s="551" t="s">
        <v>656</v>
      </c>
      <c r="B180" s="551"/>
      <c r="C180" s="551"/>
      <c r="D180" s="551"/>
      <c r="E180" s="551"/>
      <c r="F180" s="551"/>
      <c r="G180" s="551"/>
      <c r="H180" s="551"/>
      <c r="I180" s="551"/>
      <c r="J180" s="551"/>
      <c r="K180" s="551"/>
      <c r="L180" s="551"/>
      <c r="M180" s="30"/>
      <c r="N180" s="30"/>
      <c r="O180" s="30"/>
      <c r="P180" s="30"/>
      <c r="Q180" s="30"/>
      <c r="R180" s="30"/>
      <c r="AF180" s="33"/>
      <c r="AG180" s="33"/>
      <c r="AH180" s="33"/>
      <c r="AI180" s="33"/>
      <c r="AJ180" s="33"/>
    </row>
    <row r="181" spans="1:36" s="28" customFormat="1" ht="52.5" customHeight="1" x14ac:dyDescent="0.3">
      <c r="A181" s="551" t="s">
        <v>525</v>
      </c>
      <c r="B181" s="551"/>
      <c r="C181" s="551"/>
      <c r="D181" s="551"/>
      <c r="E181" s="551"/>
      <c r="F181" s="551"/>
      <c r="G181" s="551"/>
      <c r="H181" s="551"/>
      <c r="I181" s="551"/>
      <c r="J181" s="551"/>
      <c r="K181" s="551"/>
      <c r="L181" s="551"/>
      <c r="M181" s="30"/>
      <c r="N181" s="45"/>
      <c r="O181" s="45"/>
      <c r="P181" s="45"/>
      <c r="Q181" s="45"/>
      <c r="R181" s="45"/>
      <c r="S181" s="45"/>
      <c r="T181" s="45"/>
      <c r="U181" s="45"/>
      <c r="AF181" s="33"/>
      <c r="AG181" s="33"/>
      <c r="AH181" s="33"/>
      <c r="AI181" s="33"/>
      <c r="AJ181" s="33"/>
    </row>
    <row r="182" spans="1:36" s="16" customFormat="1" ht="25.35" customHeight="1" x14ac:dyDescent="0.85">
      <c r="A182" s="295" t="s">
        <v>523</v>
      </c>
      <c r="B182" s="296"/>
      <c r="C182" s="296"/>
      <c r="D182" s="296"/>
      <c r="E182" s="296"/>
      <c r="F182" s="296"/>
      <c r="G182" s="296"/>
      <c r="H182" s="296"/>
      <c r="I182" s="296"/>
      <c r="J182" s="296"/>
      <c r="K182" s="296"/>
      <c r="L182" s="296"/>
      <c r="M182" s="296"/>
      <c r="N182" s="296"/>
      <c r="O182" s="296"/>
      <c r="P182" s="296"/>
      <c r="Q182" s="296"/>
      <c r="R182" s="296"/>
      <c r="S182" s="296"/>
      <c r="T182" s="296"/>
      <c r="U182" s="296"/>
      <c r="V182" s="296"/>
      <c r="W182" s="296"/>
      <c r="X182" s="296"/>
      <c r="Y182" s="296"/>
      <c r="Z182" s="296"/>
      <c r="AA182" s="296"/>
      <c r="AB182" s="296"/>
      <c r="AC182" s="296"/>
      <c r="AD182" s="296"/>
      <c r="AE182" s="300"/>
      <c r="AF182" s="33"/>
      <c r="AG182" s="33"/>
      <c r="AH182" s="33"/>
      <c r="AI182" s="33"/>
      <c r="AJ182" s="33"/>
    </row>
    <row r="183" spans="1:36" s="22" customFormat="1" ht="25.35" customHeight="1" x14ac:dyDescent="0.85">
      <c r="A183" s="299" t="s">
        <v>125</v>
      </c>
      <c r="B183" s="299">
        <v>2021</v>
      </c>
      <c r="C183" s="299">
        <v>2022</v>
      </c>
      <c r="D183" s="299">
        <v>2023</v>
      </c>
      <c r="E183" s="299">
        <v>2024</v>
      </c>
      <c r="F183" s="299">
        <v>2025</v>
      </c>
      <c r="G183" s="299">
        <v>2026</v>
      </c>
      <c r="H183" s="299">
        <v>2027</v>
      </c>
      <c r="I183" s="299">
        <v>2028</v>
      </c>
      <c r="J183" s="299">
        <v>2029</v>
      </c>
      <c r="K183" s="299">
        <v>2030</v>
      </c>
      <c r="L183" s="299">
        <v>2031</v>
      </c>
      <c r="M183" s="299">
        <v>2032</v>
      </c>
      <c r="N183" s="299">
        <v>2033</v>
      </c>
      <c r="O183" s="299">
        <v>2034</v>
      </c>
      <c r="P183" s="299">
        <v>2035</v>
      </c>
      <c r="Q183" s="299">
        <v>2036</v>
      </c>
      <c r="R183" s="299">
        <v>2037</v>
      </c>
      <c r="S183" s="299">
        <v>2038</v>
      </c>
      <c r="T183" s="299">
        <v>2039</v>
      </c>
      <c r="U183" s="299">
        <v>2040</v>
      </c>
      <c r="V183" s="299">
        <v>2041</v>
      </c>
      <c r="W183" s="299">
        <v>2042</v>
      </c>
      <c r="X183" s="299">
        <v>2043</v>
      </c>
      <c r="Y183" s="299">
        <v>2044</v>
      </c>
      <c r="Z183" s="299">
        <v>2045</v>
      </c>
      <c r="AA183" s="299">
        <v>2046</v>
      </c>
      <c r="AB183" s="299">
        <v>2047</v>
      </c>
      <c r="AC183" s="299">
        <v>2048</v>
      </c>
      <c r="AD183" s="299">
        <v>2049</v>
      </c>
      <c r="AE183" s="2">
        <v>2050</v>
      </c>
      <c r="AF183" s="33"/>
      <c r="AG183" s="33"/>
      <c r="AH183" s="33"/>
      <c r="AI183" s="33"/>
      <c r="AJ183" s="33"/>
    </row>
    <row r="184" spans="1:36" s="33" customFormat="1" x14ac:dyDescent="0.3">
      <c r="A184" s="223" t="s">
        <v>175</v>
      </c>
      <c r="B184" s="224">
        <v>1.2846405337585434E-2</v>
      </c>
      <c r="C184" s="225">
        <v>2.1668814366030329E-2</v>
      </c>
      <c r="D184" s="225">
        <v>3.2159071258410783E-2</v>
      </c>
      <c r="E184" s="225">
        <v>4.4186650007208415E-2</v>
      </c>
      <c r="F184" s="225">
        <v>5.768873541925372E-2</v>
      </c>
      <c r="G184" s="225">
        <v>7.9424746216208195E-2</v>
      </c>
      <c r="H184" s="225">
        <v>0.10613192925414763</v>
      </c>
      <c r="I184" s="225">
        <v>0.13772343560156181</v>
      </c>
      <c r="J184" s="225">
        <v>0.17405753165557797</v>
      </c>
      <c r="K184" s="225">
        <v>0.21562371973702177</v>
      </c>
      <c r="L184" s="225">
        <v>0.26163800886941257</v>
      </c>
      <c r="M184" s="225">
        <v>0.3106926673912796</v>
      </c>
      <c r="N184" s="225">
        <v>0.35897154900893358</v>
      </c>
      <c r="O184" s="225">
        <v>0.40648949976161813</v>
      </c>
      <c r="P184" s="225">
        <v>0.45319575207515239</v>
      </c>
      <c r="Q184" s="225">
        <v>0.49904351476593817</v>
      </c>
      <c r="R184" s="225">
        <v>0.54403445648709492</v>
      </c>
      <c r="S184" s="225">
        <v>0.58366450020706728</v>
      </c>
      <c r="T184" s="225">
        <v>0.62227338664183318</v>
      </c>
      <c r="U184" s="225">
        <v>0.65961621261393977</v>
      </c>
      <c r="V184" s="225">
        <v>0.69538508494931572</v>
      </c>
      <c r="W184" s="225">
        <v>0.72949049611844252</v>
      </c>
      <c r="X184" s="225">
        <v>0.75618334616581762</v>
      </c>
      <c r="Y184" s="225">
        <v>0.77832640642926687</v>
      </c>
      <c r="Z184" s="225">
        <v>0.79591254388799193</v>
      </c>
      <c r="AA184" s="225">
        <v>0.80892927404284798</v>
      </c>
      <c r="AB184" s="225">
        <v>0.81682453033671976</v>
      </c>
      <c r="AC184" s="225">
        <v>0.82019302380690429</v>
      </c>
      <c r="AD184" s="225">
        <v>0.82019885651986912</v>
      </c>
      <c r="AE184" s="225">
        <v>0.82020502962650998</v>
      </c>
    </row>
    <row r="185" spans="1:36" s="33" customFormat="1" x14ac:dyDescent="0.3">
      <c r="A185" s="82" t="s">
        <v>176</v>
      </c>
      <c r="B185" s="83">
        <v>4.4611411129373097E-3</v>
      </c>
      <c r="C185" s="40">
        <v>1.9845770015876615E-2</v>
      </c>
      <c r="D185" s="40">
        <v>5.3157951951299055E-2</v>
      </c>
      <c r="E185" s="40">
        <v>0.10786656967681597</v>
      </c>
      <c r="F185" s="40">
        <v>0.15762812872467225</v>
      </c>
      <c r="G185" s="40">
        <v>0.21530282893487754</v>
      </c>
      <c r="H185" s="40">
        <v>0.28523428986560118</v>
      </c>
      <c r="I185" s="40">
        <v>0.35628586332811685</v>
      </c>
      <c r="J185" s="40">
        <v>0.42721439880009993</v>
      </c>
      <c r="K185" s="40">
        <v>0.49596096936735179</v>
      </c>
      <c r="L185" s="40">
        <v>0.55945883619032977</v>
      </c>
      <c r="M185" s="40">
        <v>0.61842397336293009</v>
      </c>
      <c r="N185" s="40">
        <v>0.67071057192374361</v>
      </c>
      <c r="O185" s="40">
        <v>0.72050352037550669</v>
      </c>
      <c r="P185" s="40">
        <v>0.76178397801733244</v>
      </c>
      <c r="Q185" s="40">
        <v>0.78811423771524569</v>
      </c>
      <c r="R185" s="40">
        <v>0.81592143752611779</v>
      </c>
      <c r="S185" s="40">
        <v>0.83572767020612115</v>
      </c>
      <c r="T185" s="40">
        <v>0.84257528556593986</v>
      </c>
      <c r="U185" s="40">
        <v>0.84387310802405135</v>
      </c>
      <c r="V185" s="40">
        <v>0.84051367025683521</v>
      </c>
      <c r="W185" s="40">
        <v>0.83354037267080738</v>
      </c>
      <c r="X185" s="40">
        <v>0.82670807453416151</v>
      </c>
      <c r="Y185" s="40">
        <v>0.8196313936632843</v>
      </c>
      <c r="Z185" s="40">
        <v>0.82096974720265237</v>
      </c>
      <c r="AA185" s="40">
        <v>0.82182119892138561</v>
      </c>
      <c r="AB185" s="40">
        <v>0.82260074781886172</v>
      </c>
      <c r="AC185" s="40">
        <v>0.82355389096962128</v>
      </c>
      <c r="AD185" s="40">
        <v>0.82426516572858022</v>
      </c>
      <c r="AE185" s="40">
        <v>0.82515145184875693</v>
      </c>
    </row>
    <row r="186" spans="1:36" s="33" customFormat="1" x14ac:dyDescent="0.3">
      <c r="A186" s="82" t="s">
        <v>615</v>
      </c>
      <c r="B186" s="83">
        <v>4.1444144155793772E-3</v>
      </c>
      <c r="C186" s="40">
        <v>1.0359831041382158E-2</v>
      </c>
      <c r="D186" s="40">
        <v>2.0863897715709106E-2</v>
      </c>
      <c r="E186" s="40">
        <v>3.4129483331184894E-2</v>
      </c>
      <c r="F186" s="40">
        <v>4.8584290817804368E-2</v>
      </c>
      <c r="G186" s="40">
        <v>6.5751475079313323E-2</v>
      </c>
      <c r="H186" s="40">
        <v>8.658243185776783E-2</v>
      </c>
      <c r="I186" s="40">
        <v>0.1104601600805552</v>
      </c>
      <c r="J186" s="40">
        <v>0.1372446571833075</v>
      </c>
      <c r="K186" s="40">
        <v>0.16640558638264072</v>
      </c>
      <c r="L186" s="40">
        <v>0.1963693064000043</v>
      </c>
      <c r="M186" s="40">
        <v>0.23002475326413752</v>
      </c>
      <c r="N186" s="40">
        <v>0.26264625899955196</v>
      </c>
      <c r="O186" s="40">
        <v>0.29422010195012821</v>
      </c>
      <c r="P186" s="40">
        <v>0.32730267274738806</v>
      </c>
      <c r="Q186" s="40">
        <v>0.35924439822626847</v>
      </c>
      <c r="R186" s="40">
        <v>0.39008605157328796</v>
      </c>
      <c r="S186" s="40">
        <v>0.4209056453221624</v>
      </c>
      <c r="T186" s="40">
        <v>0.450976236896386</v>
      </c>
      <c r="U186" s="40">
        <v>0.47722755647621984</v>
      </c>
      <c r="V186" s="40">
        <v>0.5006927702496744</v>
      </c>
      <c r="W186" s="40">
        <v>0.52268396012997509</v>
      </c>
      <c r="X186" s="40">
        <v>0.54209284028324156</v>
      </c>
      <c r="Y186" s="40">
        <v>0.55807836822329571</v>
      </c>
      <c r="Z186" s="40">
        <v>0.57103418984922494</v>
      </c>
      <c r="AA186" s="40">
        <v>0.58097112860892386</v>
      </c>
      <c r="AB186" s="40">
        <v>0.58824979244499787</v>
      </c>
      <c r="AC186" s="40">
        <v>0.59408733109407452</v>
      </c>
      <c r="AD186" s="40">
        <v>0.59622450272393257</v>
      </c>
      <c r="AE186" s="40">
        <v>0.59833510671590406</v>
      </c>
    </row>
    <row r="187" spans="1:36" s="33" customFormat="1" x14ac:dyDescent="0.3">
      <c r="A187" s="82" t="s">
        <v>616</v>
      </c>
      <c r="B187" s="83">
        <v>5.9138354179603176E-5</v>
      </c>
      <c r="C187" s="40">
        <v>2.9418686749823484E-5</v>
      </c>
      <c r="D187" s="40">
        <v>0</v>
      </c>
      <c r="E187" s="40">
        <v>4.3740705100166221E-4</v>
      </c>
      <c r="F187" s="40">
        <v>6.9690458214762766E-4</v>
      </c>
      <c r="G187" s="40">
        <v>1.3007660066483597E-3</v>
      </c>
      <c r="H187" s="40">
        <v>9.666005005609735E-3</v>
      </c>
      <c r="I187" s="40">
        <v>2.0866727730707579E-2</v>
      </c>
      <c r="J187" s="40">
        <v>3.4772455430882268E-2</v>
      </c>
      <c r="K187" s="40">
        <v>5.1262433052792655E-2</v>
      </c>
      <c r="L187" s="40">
        <v>7.0381231671554245E-2</v>
      </c>
      <c r="M187" s="40">
        <v>9.2082374726446328E-2</v>
      </c>
      <c r="N187" s="40">
        <v>0.11364207352818023</v>
      </c>
      <c r="O187" s="40">
        <v>0.1350075004166898</v>
      </c>
      <c r="P187" s="40">
        <v>0.15612211038601922</v>
      </c>
      <c r="Q187" s="40">
        <v>0.17700503840753284</v>
      </c>
      <c r="R187" s="40">
        <v>0.19772446881425632</v>
      </c>
      <c r="S187" s="40">
        <v>0.21826967703186001</v>
      </c>
      <c r="T187" s="40">
        <v>0.23866231647634581</v>
      </c>
      <c r="U187" s="40">
        <v>0.25952768729641695</v>
      </c>
      <c r="V187" s="40">
        <v>0.28092909535452326</v>
      </c>
      <c r="W187" s="40">
        <v>0.30224215246636771</v>
      </c>
      <c r="X187" s="40">
        <v>0.32303302079086832</v>
      </c>
      <c r="Y187" s="40">
        <v>0.34404305634836496</v>
      </c>
      <c r="Z187" s="40">
        <v>0.36483068135454916</v>
      </c>
      <c r="AA187" s="40">
        <v>0.37836954745956541</v>
      </c>
      <c r="AB187" s="40">
        <v>0.38928425357873209</v>
      </c>
      <c r="AC187" s="40">
        <v>0.39754199098730031</v>
      </c>
      <c r="AD187" s="40">
        <v>0.40315167432698623</v>
      </c>
      <c r="AE187" s="40">
        <v>0.406067582011017</v>
      </c>
    </row>
    <row r="188" spans="1:36" s="33" customFormat="1" x14ac:dyDescent="0.3">
      <c r="A188" s="220" t="s">
        <v>177</v>
      </c>
      <c r="B188" s="221">
        <v>0</v>
      </c>
      <c r="C188" s="222">
        <v>2.3339286030022808E-3</v>
      </c>
      <c r="D188" s="222">
        <v>5.2173913043478265E-3</v>
      </c>
      <c r="E188" s="222">
        <v>8.7688591731718418E-3</v>
      </c>
      <c r="F188" s="222">
        <v>1.3118309662072343E-2</v>
      </c>
      <c r="G188" s="222">
        <v>1.8351035860763486E-2</v>
      </c>
      <c r="H188" s="222">
        <v>2.4564616386976351E-2</v>
      </c>
      <c r="I188" s="222">
        <v>3.1819794253281304E-2</v>
      </c>
      <c r="J188" s="222">
        <v>4.0094593141997203E-2</v>
      </c>
      <c r="K188" s="222">
        <v>4.9426622151255629E-2</v>
      </c>
      <c r="L188" s="222">
        <v>5.975897398098326E-2</v>
      </c>
      <c r="M188" s="222">
        <v>7.0990260654168774E-2</v>
      </c>
      <c r="N188" s="222">
        <v>8.311777892740127E-2</v>
      </c>
      <c r="O188" s="222">
        <v>9.6087084436598982E-2</v>
      </c>
      <c r="P188" s="222">
        <v>0.10991665660103876</v>
      </c>
      <c r="Q188" s="222">
        <v>0.12457263629017219</v>
      </c>
      <c r="R188" s="222">
        <v>0.14017192712342827</v>
      </c>
      <c r="S188" s="222">
        <v>0.15863319011815252</v>
      </c>
      <c r="T188" s="222">
        <v>0.17572425459928104</v>
      </c>
      <c r="U188" s="222">
        <v>0.1932020142180095</v>
      </c>
      <c r="V188" s="222">
        <v>0.21066956995100708</v>
      </c>
      <c r="W188" s="222">
        <v>0.22766946733012483</v>
      </c>
      <c r="X188" s="222">
        <v>0.24397538882242353</v>
      </c>
      <c r="Y188" s="222">
        <v>0.25925263722510278</v>
      </c>
      <c r="Z188" s="222">
        <v>0.27317710764634484</v>
      </c>
      <c r="AA188" s="222">
        <v>0.28554755884069249</v>
      </c>
      <c r="AB188" s="222">
        <v>0.29612042836936758</v>
      </c>
      <c r="AC188" s="222">
        <v>0.30490739771894948</v>
      </c>
      <c r="AD188" s="222">
        <v>0.31212873960470894</v>
      </c>
      <c r="AE188" s="222">
        <v>0.31785357182535279</v>
      </c>
    </row>
    <row r="189" spans="1:36" s="16" customFormat="1" ht="25.35" customHeight="1" x14ac:dyDescent="0.85">
      <c r="A189" s="295" t="s">
        <v>524</v>
      </c>
      <c r="B189" s="296"/>
      <c r="C189" s="296"/>
      <c r="D189" s="296"/>
      <c r="E189" s="296"/>
      <c r="F189" s="296"/>
      <c r="G189" s="296"/>
      <c r="H189" s="296"/>
      <c r="I189" s="296"/>
      <c r="J189" s="296"/>
      <c r="K189" s="296"/>
      <c r="L189" s="296"/>
      <c r="M189" s="296"/>
      <c r="N189" s="296"/>
      <c r="O189" s="296"/>
      <c r="P189" s="296"/>
      <c r="Q189" s="296"/>
      <c r="R189" s="296"/>
      <c r="S189" s="296"/>
      <c r="T189" s="296"/>
      <c r="U189" s="296"/>
      <c r="V189" s="296"/>
      <c r="W189" s="296"/>
      <c r="X189" s="296"/>
      <c r="Y189" s="296"/>
      <c r="Z189" s="296"/>
      <c r="AA189" s="296"/>
      <c r="AB189" s="296"/>
      <c r="AC189" s="296"/>
      <c r="AD189" s="296"/>
      <c r="AE189" s="300"/>
      <c r="AF189" s="33"/>
      <c r="AG189" s="33"/>
      <c r="AH189" s="33"/>
      <c r="AI189" s="33"/>
      <c r="AJ189" s="33"/>
    </row>
    <row r="190" spans="1:36" s="22" customFormat="1" ht="25.35" customHeight="1" x14ac:dyDescent="0.85">
      <c r="A190" s="2" t="s">
        <v>125</v>
      </c>
      <c r="B190" s="2">
        <v>2021</v>
      </c>
      <c r="C190" s="2">
        <v>2022</v>
      </c>
      <c r="D190" s="2">
        <v>2023</v>
      </c>
      <c r="E190" s="2">
        <v>2024</v>
      </c>
      <c r="F190" s="2">
        <v>2025</v>
      </c>
      <c r="G190" s="2">
        <v>2026</v>
      </c>
      <c r="H190" s="2">
        <v>2027</v>
      </c>
      <c r="I190" s="2">
        <v>2028</v>
      </c>
      <c r="J190" s="2">
        <v>2029</v>
      </c>
      <c r="K190" s="2">
        <v>2030</v>
      </c>
      <c r="L190" s="2">
        <v>2031</v>
      </c>
      <c r="M190" s="2">
        <v>2032</v>
      </c>
      <c r="N190" s="2">
        <v>2033</v>
      </c>
      <c r="O190" s="2">
        <v>2034</v>
      </c>
      <c r="P190" s="2">
        <v>2035</v>
      </c>
      <c r="Q190" s="2">
        <v>2036</v>
      </c>
      <c r="R190" s="2">
        <v>2037</v>
      </c>
      <c r="S190" s="2">
        <v>2038</v>
      </c>
      <c r="T190" s="2">
        <v>2039</v>
      </c>
      <c r="U190" s="2">
        <v>2040</v>
      </c>
      <c r="V190" s="2">
        <v>2041</v>
      </c>
      <c r="W190" s="2">
        <v>2042</v>
      </c>
      <c r="X190" s="2">
        <v>2043</v>
      </c>
      <c r="Y190" s="2">
        <v>2044</v>
      </c>
      <c r="Z190" s="2">
        <v>2045</v>
      </c>
      <c r="AA190" s="2">
        <v>2046</v>
      </c>
      <c r="AB190" s="2">
        <v>2047</v>
      </c>
      <c r="AC190" s="2">
        <v>2048</v>
      </c>
      <c r="AD190" s="2">
        <v>2049</v>
      </c>
      <c r="AE190" s="2">
        <v>2050</v>
      </c>
      <c r="AF190" s="33"/>
      <c r="AG190" s="33"/>
      <c r="AH190" s="33"/>
      <c r="AI190" s="33"/>
      <c r="AJ190" s="33"/>
    </row>
    <row r="191" spans="1:36" s="33" customFormat="1" x14ac:dyDescent="0.3">
      <c r="A191" s="223" t="s">
        <v>440</v>
      </c>
      <c r="B191" s="224">
        <v>8.1604132685550133E-3</v>
      </c>
      <c r="C191" s="225">
        <v>1.0373347114772778E-2</v>
      </c>
      <c r="D191" s="225">
        <v>1.3017411333510483E-2</v>
      </c>
      <c r="E191" s="225">
        <v>1.5918256274670427E-2</v>
      </c>
      <c r="F191" s="225">
        <v>1.9144255535102763E-2</v>
      </c>
      <c r="G191" s="225">
        <v>2.2741995914002226E-2</v>
      </c>
      <c r="H191" s="225">
        <v>2.6265266977428921E-2</v>
      </c>
      <c r="I191" s="225">
        <v>2.9624448843813243E-2</v>
      </c>
      <c r="J191" s="225">
        <v>3.2849258371273893E-2</v>
      </c>
      <c r="K191" s="225">
        <v>3.6033725679226546E-2</v>
      </c>
      <c r="L191" s="225">
        <v>3.9165813142138739E-2</v>
      </c>
      <c r="M191" s="225">
        <v>4.2121988091631549E-2</v>
      </c>
      <c r="N191" s="225">
        <v>4.4936910910598121E-2</v>
      </c>
      <c r="O191" s="225">
        <v>4.7577446616976334E-2</v>
      </c>
      <c r="P191" s="225">
        <v>4.9992861129337304E-2</v>
      </c>
      <c r="Q191" s="225">
        <v>5.248440590180297E-2</v>
      </c>
      <c r="R191" s="225">
        <v>5.4696247481260639E-2</v>
      </c>
      <c r="S191" s="225">
        <v>5.6618797026182506E-2</v>
      </c>
      <c r="T191" s="225">
        <v>5.8343997798145399E-2</v>
      </c>
      <c r="U191" s="225">
        <v>5.9893089262874386E-2</v>
      </c>
      <c r="V191" s="225">
        <v>6.1482875089478355E-2</v>
      </c>
      <c r="W191" s="225">
        <v>6.2960718062195387E-2</v>
      </c>
      <c r="X191" s="225">
        <v>6.4380570209251878E-2</v>
      </c>
      <c r="Y191" s="225">
        <v>6.5766251308627732E-2</v>
      </c>
      <c r="Z191" s="225">
        <v>6.710718904886076E-2</v>
      </c>
      <c r="AA191" s="225">
        <v>6.8469204675465287E-2</v>
      </c>
      <c r="AB191" s="225">
        <v>6.9864418479337442E-2</v>
      </c>
      <c r="AC191" s="225">
        <v>7.1244380654994943E-2</v>
      </c>
      <c r="AD191" s="225">
        <v>7.2618024333161862E-2</v>
      </c>
      <c r="AE191" s="225">
        <v>7.4038726697401233E-2</v>
      </c>
    </row>
    <row r="192" spans="1:36" s="33" customFormat="1" x14ac:dyDescent="0.3">
      <c r="A192" s="82" t="s">
        <v>441</v>
      </c>
      <c r="B192" s="83">
        <v>1.4618529441282591E-3</v>
      </c>
      <c r="C192" s="40">
        <v>1.7358173701046025E-3</v>
      </c>
      <c r="D192" s="40">
        <v>2.0904450712113105E-3</v>
      </c>
      <c r="E192" s="40">
        <v>2.4959513498586496E-3</v>
      </c>
      <c r="F192" s="40">
        <v>2.9496034814219989E-3</v>
      </c>
      <c r="G192" s="40">
        <v>3.4130838160837409E-3</v>
      </c>
      <c r="H192" s="40">
        <v>3.886612529420195E-3</v>
      </c>
      <c r="I192" s="40">
        <v>4.3524572662802267E-3</v>
      </c>
      <c r="J192" s="40">
        <v>4.8238926763429623E-3</v>
      </c>
      <c r="K192" s="40">
        <v>5.3245415459042067E-3</v>
      </c>
      <c r="L192" s="40">
        <v>5.8239012908237429E-3</v>
      </c>
      <c r="M192" s="40">
        <v>6.3252630784536917E-3</v>
      </c>
      <c r="N192" s="40">
        <v>6.8260474219077032E-3</v>
      </c>
      <c r="O192" s="40">
        <v>7.3089229876764309E-3</v>
      </c>
      <c r="P192" s="40">
        <v>7.7482181449640124E-3</v>
      </c>
      <c r="Q192" s="40">
        <v>8.1176355592117132E-3</v>
      </c>
      <c r="R192" s="40">
        <v>8.4105607547291638E-3</v>
      </c>
      <c r="S192" s="40">
        <v>8.6245160467768693E-3</v>
      </c>
      <c r="T192" s="40">
        <v>8.7810104443225186E-3</v>
      </c>
      <c r="U192" s="40">
        <v>8.8913506680199719E-3</v>
      </c>
      <c r="V192" s="40">
        <v>9.0069182693770129E-3</v>
      </c>
      <c r="W192" s="40">
        <v>9.1000801140838656E-3</v>
      </c>
      <c r="X192" s="40">
        <v>9.1810771179232659E-3</v>
      </c>
      <c r="Y192" s="40">
        <v>9.2527241165214213E-3</v>
      </c>
      <c r="Z192" s="40">
        <v>9.3081426386431802E-3</v>
      </c>
      <c r="AA192" s="40">
        <v>9.3761710513147779E-3</v>
      </c>
      <c r="AB192" s="40">
        <v>9.4525368957936121E-3</v>
      </c>
      <c r="AC192" s="40">
        <v>9.5215520790571245E-3</v>
      </c>
      <c r="AD192" s="40">
        <v>9.5833722081335188E-3</v>
      </c>
      <c r="AE192" s="40">
        <v>9.6536677399359731E-3</v>
      </c>
    </row>
    <row r="193" spans="1:36" s="33" customFormat="1" x14ac:dyDescent="0.3">
      <c r="A193" s="82" t="s">
        <v>442</v>
      </c>
      <c r="B193" s="83">
        <v>1.8503922557350456E-7</v>
      </c>
      <c r="C193" s="40">
        <v>1.8503922557350456E-7</v>
      </c>
      <c r="D193" s="40">
        <v>1.8503922557350456E-7</v>
      </c>
      <c r="E193" s="40">
        <v>1.8503922557350456E-7</v>
      </c>
      <c r="F193" s="40">
        <v>1.8503922557350456E-7</v>
      </c>
      <c r="G193" s="40">
        <v>1.8503922557350456E-7</v>
      </c>
      <c r="H193" s="40">
        <v>1.8503922557350456E-7</v>
      </c>
      <c r="I193" s="40">
        <v>1.8503922557350456E-7</v>
      </c>
      <c r="J193" s="40">
        <v>1.8503922557350456E-7</v>
      </c>
      <c r="K193" s="40">
        <v>1.8503922557350456E-7</v>
      </c>
      <c r="L193" s="40">
        <v>1.8503922557350456E-7</v>
      </c>
      <c r="M193" s="40">
        <v>1.8503922557350456E-7</v>
      </c>
      <c r="N193" s="40">
        <v>1.8503922557350456E-7</v>
      </c>
      <c r="O193" s="40">
        <v>1.8503922557350456E-7</v>
      </c>
      <c r="P193" s="40">
        <v>1.8503922557350456E-7</v>
      </c>
      <c r="Q193" s="40">
        <v>1.8503922557350456E-7</v>
      </c>
      <c r="R193" s="40">
        <v>1.8503922557350456E-7</v>
      </c>
      <c r="S193" s="40">
        <v>1.8503922557350456E-7</v>
      </c>
      <c r="T193" s="40">
        <v>1.8503922557350456E-7</v>
      </c>
      <c r="U193" s="40">
        <v>1.8503922557350456E-7</v>
      </c>
      <c r="V193" s="40">
        <v>1.8503922557350456E-7</v>
      </c>
      <c r="W193" s="40">
        <v>1.8503922557350456E-7</v>
      </c>
      <c r="X193" s="40">
        <v>1.8503922557350456E-7</v>
      </c>
      <c r="Y193" s="40">
        <v>1.8503922557350456E-7</v>
      </c>
      <c r="Z193" s="40">
        <v>1.8503922557350456E-7</v>
      </c>
      <c r="AA193" s="40">
        <v>1.8503922557350456E-7</v>
      </c>
      <c r="AB193" s="40">
        <v>1.8503922557350456E-7</v>
      </c>
      <c r="AC193" s="40">
        <v>1.8503922557350456E-7</v>
      </c>
      <c r="AD193" s="40">
        <v>1.8503922557350456E-7</v>
      </c>
      <c r="AE193" s="40">
        <v>1.8503922557350501E-7</v>
      </c>
      <c r="AJ193" s="28"/>
    </row>
    <row r="194" spans="1:36" s="33" customFormat="1" x14ac:dyDescent="0.3">
      <c r="A194" s="82" t="s">
        <v>443</v>
      </c>
      <c r="B194" s="83">
        <v>2.7380730119982586E-7</v>
      </c>
      <c r="C194" s="40">
        <v>2.7380730119982586E-7</v>
      </c>
      <c r="D194" s="40">
        <v>2.7380730119982586E-7</v>
      </c>
      <c r="E194" s="40">
        <v>2.7380730119982586E-7</v>
      </c>
      <c r="F194" s="40">
        <v>2.7380730119982586E-7</v>
      </c>
      <c r="G194" s="40">
        <v>2.7380730119982586E-7</v>
      </c>
      <c r="H194" s="40">
        <v>2.7380730119982586E-7</v>
      </c>
      <c r="I194" s="40">
        <v>2.7380730119982586E-7</v>
      </c>
      <c r="J194" s="40">
        <v>2.7380730119982586E-7</v>
      </c>
      <c r="K194" s="40">
        <v>2.7380730119982586E-7</v>
      </c>
      <c r="L194" s="40">
        <v>2.7380730119982586E-7</v>
      </c>
      <c r="M194" s="40">
        <v>2.7380730119982586E-7</v>
      </c>
      <c r="N194" s="40">
        <v>2.7380730119982586E-7</v>
      </c>
      <c r="O194" s="40">
        <v>2.7380730119982586E-7</v>
      </c>
      <c r="P194" s="40">
        <v>2.7380730119982586E-7</v>
      </c>
      <c r="Q194" s="40">
        <v>2.7380730119982586E-7</v>
      </c>
      <c r="R194" s="40">
        <v>2.7380730119982586E-7</v>
      </c>
      <c r="S194" s="40">
        <v>2.7380730119982586E-7</v>
      </c>
      <c r="T194" s="40">
        <v>2.7380730119982586E-7</v>
      </c>
      <c r="U194" s="40">
        <v>2.7380730119982586E-7</v>
      </c>
      <c r="V194" s="40">
        <v>2.7380730119982586E-7</v>
      </c>
      <c r="W194" s="40">
        <v>2.7380730119982586E-7</v>
      </c>
      <c r="X194" s="40">
        <v>2.7380730119982586E-7</v>
      </c>
      <c r="Y194" s="40">
        <v>2.7380730119982586E-7</v>
      </c>
      <c r="Z194" s="40">
        <v>2.7380730119982586E-7</v>
      </c>
      <c r="AA194" s="40">
        <v>2.7380730119982586E-7</v>
      </c>
      <c r="AB194" s="40">
        <v>2.7380730119982586E-7</v>
      </c>
      <c r="AC194" s="40">
        <v>2.7380730119982586E-7</v>
      </c>
      <c r="AD194" s="40">
        <v>2.7380730119982586E-7</v>
      </c>
      <c r="AE194" s="40">
        <v>2.7380730119982586E-7</v>
      </c>
      <c r="AJ194" s="28"/>
    </row>
    <row r="195" spans="1:36" s="28" customFormat="1" x14ac:dyDescent="0.3">
      <c r="A195" s="539"/>
      <c r="B195" s="539"/>
      <c r="C195" s="539"/>
      <c r="D195" s="539"/>
      <c r="E195" s="539"/>
      <c r="F195" s="539"/>
      <c r="G195" s="539"/>
      <c r="H195" s="539"/>
      <c r="I195" s="539"/>
      <c r="J195" s="539"/>
      <c r="K195" s="539"/>
      <c r="L195" s="539"/>
      <c r="M195" s="30"/>
      <c r="N195" s="45"/>
      <c r="O195" s="45"/>
      <c r="P195" s="45"/>
      <c r="Q195" s="45"/>
      <c r="R195" s="45"/>
      <c r="S195" s="45"/>
      <c r="T195" s="45"/>
      <c r="U195" s="45"/>
    </row>
    <row r="196" spans="1:36" ht="30" customHeight="1" x14ac:dyDescent="0.7">
      <c r="A196" s="292" t="s">
        <v>147</v>
      </c>
      <c r="B196" s="293"/>
      <c r="C196" s="293"/>
      <c r="D196" s="293"/>
      <c r="E196" s="293"/>
      <c r="F196" s="293"/>
      <c r="G196" s="293"/>
      <c r="H196" s="293"/>
      <c r="I196" s="293"/>
      <c r="J196" s="293"/>
      <c r="K196" s="293"/>
      <c r="L196" s="293"/>
      <c r="M196" s="293"/>
      <c r="N196" s="293"/>
      <c r="O196" s="293"/>
      <c r="P196" s="293"/>
      <c r="Q196" s="293"/>
      <c r="R196" s="293"/>
      <c r="S196" s="293"/>
      <c r="T196" s="293"/>
      <c r="U196" s="293"/>
      <c r="V196" s="293"/>
      <c r="W196" s="293"/>
      <c r="X196" s="293"/>
      <c r="Y196" s="293"/>
      <c r="Z196" s="293"/>
      <c r="AA196" s="293"/>
      <c r="AB196" s="293"/>
      <c r="AC196" s="293"/>
      <c r="AD196" s="293"/>
      <c r="AE196" s="293"/>
      <c r="AF196" s="293"/>
      <c r="AG196" s="293"/>
      <c r="AH196" s="293"/>
      <c r="AI196" s="293"/>
      <c r="AJ196" s="294"/>
    </row>
    <row r="197" spans="1:36" s="208" customFormat="1" ht="26.4" x14ac:dyDescent="0.9">
      <c r="A197" s="228" t="s">
        <v>296</v>
      </c>
      <c r="B197" s="229"/>
      <c r="C197" s="229"/>
      <c r="D197" s="229"/>
      <c r="E197" s="229"/>
      <c r="F197" s="229"/>
      <c r="G197" s="229"/>
      <c r="H197" s="229"/>
      <c r="I197" s="229"/>
      <c r="J197" s="229"/>
      <c r="K197" s="229"/>
      <c r="L197" s="229"/>
      <c r="M197" s="229"/>
      <c r="N197" s="229"/>
      <c r="O197" s="229"/>
      <c r="P197" s="229"/>
      <c r="Q197" s="229"/>
      <c r="R197" s="229"/>
      <c r="S197" s="229"/>
      <c r="T197" s="229"/>
      <c r="U197" s="229"/>
      <c r="V197" s="229"/>
      <c r="W197" s="229"/>
      <c r="X197" s="229"/>
      <c r="Y197" s="229"/>
      <c r="Z197" s="229"/>
      <c r="AA197" s="229"/>
      <c r="AB197" s="229"/>
      <c r="AC197" s="229"/>
      <c r="AD197" s="229"/>
      <c r="AE197" s="229"/>
      <c r="AF197" s="229"/>
      <c r="AG197" s="229"/>
      <c r="AH197" s="229"/>
      <c r="AI197" s="229"/>
      <c r="AJ197" s="230"/>
    </row>
    <row r="198" spans="1:36" ht="24" x14ac:dyDescent="0.85">
      <c r="A198" s="217" t="s">
        <v>36</v>
      </c>
      <c r="B198" s="218"/>
      <c r="C198" s="218"/>
      <c r="D198" s="218"/>
      <c r="E198" s="218"/>
      <c r="F198" s="218"/>
      <c r="G198" s="218"/>
      <c r="H198" s="218"/>
      <c r="I198" s="218"/>
      <c r="J198" s="218"/>
      <c r="K198" s="218"/>
      <c r="L198" s="218"/>
      <c r="M198" s="218"/>
      <c r="N198" s="218"/>
      <c r="O198" s="218"/>
      <c r="P198" s="218"/>
      <c r="Q198" s="218"/>
      <c r="R198" s="218"/>
      <c r="S198" s="218"/>
      <c r="T198" s="218"/>
      <c r="U198" s="218"/>
      <c r="V198" s="218"/>
      <c r="W198" s="218"/>
      <c r="X198" s="218"/>
      <c r="Y198" s="218"/>
      <c r="Z198" s="218"/>
      <c r="AA198" s="218"/>
      <c r="AB198" s="218"/>
      <c r="AC198" s="218"/>
      <c r="AD198" s="218"/>
      <c r="AE198" s="218"/>
      <c r="AF198" s="218"/>
      <c r="AG198" s="218"/>
      <c r="AH198" s="218"/>
      <c r="AI198" s="218"/>
      <c r="AJ198" s="219"/>
    </row>
    <row r="199" spans="1:36" s="28" customFormat="1" x14ac:dyDescent="0.3">
      <c r="A199" s="551" t="s">
        <v>617</v>
      </c>
      <c r="B199" s="551"/>
      <c r="C199" s="551"/>
      <c r="D199" s="551"/>
      <c r="E199" s="551"/>
      <c r="F199" s="551"/>
      <c r="G199" s="551"/>
      <c r="H199" s="551"/>
      <c r="I199" s="551"/>
      <c r="J199" s="551"/>
      <c r="K199" s="551"/>
      <c r="L199" s="551"/>
      <c r="M199" s="30"/>
      <c r="N199" s="45"/>
      <c r="O199" s="45"/>
      <c r="P199" s="45"/>
      <c r="Q199" s="45"/>
      <c r="R199" s="45"/>
      <c r="S199" s="45"/>
      <c r="T199" s="45"/>
      <c r="U199" s="45"/>
    </row>
    <row r="200" spans="1:36" s="28" customFormat="1" x14ac:dyDescent="0.3">
      <c r="A200" s="551" t="s">
        <v>526</v>
      </c>
      <c r="B200" s="551"/>
      <c r="C200" s="551"/>
      <c r="D200" s="551"/>
      <c r="E200" s="551"/>
      <c r="F200" s="551"/>
      <c r="G200" s="551"/>
      <c r="H200" s="551"/>
      <c r="I200" s="551"/>
      <c r="J200" s="551"/>
      <c r="K200" s="551"/>
      <c r="L200" s="551"/>
      <c r="M200" s="30"/>
      <c r="N200" s="45"/>
      <c r="O200" s="45"/>
      <c r="P200" s="45"/>
      <c r="Q200" s="45"/>
      <c r="R200" s="45"/>
      <c r="S200" s="45"/>
      <c r="T200" s="45"/>
      <c r="U200" s="45"/>
    </row>
    <row r="201" spans="1:36" ht="24" x14ac:dyDescent="0.85">
      <c r="A201" s="548" t="s">
        <v>297</v>
      </c>
      <c r="B201" s="549"/>
      <c r="C201" s="549"/>
      <c r="D201" s="549"/>
      <c r="E201" s="549"/>
      <c r="F201" s="549"/>
      <c r="G201" s="549"/>
      <c r="H201" s="549"/>
      <c r="I201" s="549"/>
      <c r="J201" s="549"/>
      <c r="K201" s="549"/>
      <c r="L201" s="549"/>
      <c r="M201" s="549"/>
      <c r="N201" s="549"/>
      <c r="O201" s="549"/>
      <c r="P201" s="549"/>
      <c r="Q201" s="549"/>
      <c r="R201" s="549"/>
      <c r="S201" s="549"/>
      <c r="T201" s="549"/>
      <c r="U201" s="549"/>
      <c r="V201" s="549"/>
      <c r="W201" s="549"/>
      <c r="X201" s="549"/>
      <c r="Y201" s="549"/>
      <c r="Z201" s="549"/>
      <c r="AA201" s="549"/>
      <c r="AB201" s="549"/>
      <c r="AC201" s="549"/>
      <c r="AD201" s="549"/>
      <c r="AE201" s="549"/>
      <c r="AF201" s="549"/>
      <c r="AG201" s="549"/>
      <c r="AH201" s="550"/>
    </row>
    <row r="202" spans="1:36" ht="24" x14ac:dyDescent="0.7">
      <c r="A202" s="559" t="s">
        <v>149</v>
      </c>
      <c r="B202" s="560"/>
      <c r="C202" s="561"/>
      <c r="D202" s="291">
        <v>2020</v>
      </c>
      <c r="E202" s="291">
        <v>2021</v>
      </c>
      <c r="F202" s="291">
        <v>2022</v>
      </c>
      <c r="G202" s="291">
        <v>2023</v>
      </c>
      <c r="H202" s="291">
        <v>2024</v>
      </c>
      <c r="I202" s="291">
        <v>2025</v>
      </c>
      <c r="J202" s="291">
        <v>2026</v>
      </c>
      <c r="K202" s="291">
        <v>2027</v>
      </c>
      <c r="L202" s="291">
        <v>2028</v>
      </c>
      <c r="M202" s="291">
        <v>2029</v>
      </c>
      <c r="N202" s="291">
        <v>2030</v>
      </c>
      <c r="O202" s="291">
        <v>2031</v>
      </c>
      <c r="P202" s="291">
        <v>2032</v>
      </c>
      <c r="Q202" s="291">
        <v>2033</v>
      </c>
      <c r="R202" s="291">
        <v>2034</v>
      </c>
      <c r="S202" s="291">
        <v>2035</v>
      </c>
      <c r="T202" s="291">
        <v>2036</v>
      </c>
      <c r="U202" s="291">
        <v>2037</v>
      </c>
      <c r="V202" s="291">
        <v>2038</v>
      </c>
      <c r="W202" s="291">
        <v>2039</v>
      </c>
      <c r="X202" s="24">
        <v>2040</v>
      </c>
      <c r="Y202" s="24">
        <v>2041</v>
      </c>
      <c r="Z202" s="24">
        <v>2042</v>
      </c>
      <c r="AA202" s="24">
        <v>2043</v>
      </c>
      <c r="AB202" s="24">
        <v>2044</v>
      </c>
      <c r="AC202" s="24">
        <v>2045</v>
      </c>
      <c r="AD202" s="24">
        <v>2046</v>
      </c>
      <c r="AE202" s="24">
        <v>2047</v>
      </c>
      <c r="AF202" s="24">
        <v>2048</v>
      </c>
      <c r="AG202" s="24">
        <v>2049</v>
      </c>
      <c r="AH202" s="2">
        <v>2050</v>
      </c>
    </row>
    <row r="203" spans="1:36" x14ac:dyDescent="0.7">
      <c r="A203" s="545" t="s">
        <v>150</v>
      </c>
      <c r="B203" s="546"/>
      <c r="C203" s="547"/>
      <c r="D203" s="68">
        <v>3</v>
      </c>
      <c r="E203" s="69">
        <v>3.0750000000000002</v>
      </c>
      <c r="F203" s="69">
        <v>3.1500000000000004</v>
      </c>
      <c r="G203" s="69">
        <v>3.2250000000000005</v>
      </c>
      <c r="H203" s="69">
        <v>3.3000000000000003</v>
      </c>
      <c r="I203" s="69">
        <v>3.375</v>
      </c>
      <c r="J203" s="69">
        <v>3.45</v>
      </c>
      <c r="K203" s="69">
        <v>3.5250000000000004</v>
      </c>
      <c r="L203" s="69">
        <v>3.6</v>
      </c>
      <c r="M203" s="69">
        <v>3.6749999999999998</v>
      </c>
      <c r="N203" s="68">
        <v>3.75</v>
      </c>
      <c r="O203" s="69">
        <v>3.8</v>
      </c>
      <c r="P203" s="69">
        <v>3.8499999999999996</v>
      </c>
      <c r="Q203" s="69">
        <v>3.8999999999999995</v>
      </c>
      <c r="R203" s="69">
        <v>3.9499999999999997</v>
      </c>
      <c r="S203" s="69">
        <v>4</v>
      </c>
      <c r="T203" s="69">
        <v>4.05</v>
      </c>
      <c r="U203" s="69">
        <v>4.0999999999999996</v>
      </c>
      <c r="V203" s="69">
        <v>4.1499999999999995</v>
      </c>
      <c r="W203" s="69">
        <v>4.1999999999999993</v>
      </c>
      <c r="X203" s="68">
        <v>4.25</v>
      </c>
      <c r="Y203" s="69">
        <v>4.2649999999999997</v>
      </c>
      <c r="Z203" s="69">
        <v>4.2799999999999994</v>
      </c>
      <c r="AA203" s="69">
        <v>4.2949999999999999</v>
      </c>
      <c r="AB203" s="69">
        <v>4.3099999999999996</v>
      </c>
      <c r="AC203" s="69">
        <v>4.3249999999999993</v>
      </c>
      <c r="AD203" s="69">
        <v>4.34</v>
      </c>
      <c r="AE203" s="69">
        <v>4.3550000000000004</v>
      </c>
      <c r="AF203" s="69">
        <v>4.37</v>
      </c>
      <c r="AG203" s="69">
        <v>4.3849999999999998</v>
      </c>
      <c r="AH203" s="70">
        <v>4.4000000000000004</v>
      </c>
    </row>
    <row r="204" spans="1:36" x14ac:dyDescent="0.7">
      <c r="A204" s="545" t="s">
        <v>151</v>
      </c>
      <c r="B204" s="546"/>
      <c r="C204" s="547"/>
      <c r="D204" s="68">
        <v>3.75</v>
      </c>
      <c r="E204" s="69">
        <v>3.7749999999999999</v>
      </c>
      <c r="F204" s="69">
        <v>3.8</v>
      </c>
      <c r="G204" s="69">
        <v>3.8249999999999997</v>
      </c>
      <c r="H204" s="69">
        <v>3.8499999999999996</v>
      </c>
      <c r="I204" s="69">
        <v>3.8749999999999996</v>
      </c>
      <c r="J204" s="69">
        <v>3.8999999999999995</v>
      </c>
      <c r="K204" s="69">
        <v>3.9249999999999998</v>
      </c>
      <c r="L204" s="69">
        <v>3.9499999999999997</v>
      </c>
      <c r="M204" s="69">
        <v>3.9749999999999996</v>
      </c>
      <c r="N204" s="68">
        <v>4</v>
      </c>
      <c r="O204" s="69">
        <v>4.0149999999999997</v>
      </c>
      <c r="P204" s="69">
        <v>4.0299999999999994</v>
      </c>
      <c r="Q204" s="69">
        <v>4.0449999999999999</v>
      </c>
      <c r="R204" s="69">
        <v>4.0599999999999996</v>
      </c>
      <c r="S204" s="69">
        <v>4.0749999999999993</v>
      </c>
      <c r="T204" s="69">
        <v>4.09</v>
      </c>
      <c r="U204" s="69">
        <v>4.1050000000000004</v>
      </c>
      <c r="V204" s="69">
        <v>4.12</v>
      </c>
      <c r="W204" s="69">
        <v>4.1349999999999998</v>
      </c>
      <c r="X204" s="68">
        <v>4.1500000000000004</v>
      </c>
      <c r="Y204" s="69">
        <v>4.16</v>
      </c>
      <c r="Z204" s="69">
        <v>4.17</v>
      </c>
      <c r="AA204" s="69">
        <v>4.18</v>
      </c>
      <c r="AB204" s="69">
        <v>4.1899999999999995</v>
      </c>
      <c r="AC204" s="69">
        <v>4.1999999999999993</v>
      </c>
      <c r="AD204" s="69">
        <v>4.2099999999999991</v>
      </c>
      <c r="AE204" s="69">
        <v>4.2199999999999989</v>
      </c>
      <c r="AF204" s="69">
        <v>4.2299999999999995</v>
      </c>
      <c r="AG204" s="69">
        <v>4.24</v>
      </c>
      <c r="AH204" s="70">
        <v>4.25</v>
      </c>
    </row>
    <row r="205" spans="1:36" x14ac:dyDescent="0.7">
      <c r="A205" s="545" t="s">
        <v>152</v>
      </c>
      <c r="B205" s="546"/>
      <c r="C205" s="547"/>
      <c r="D205" s="68">
        <v>3</v>
      </c>
      <c r="E205" s="69">
        <v>3.05</v>
      </c>
      <c r="F205" s="69">
        <v>3.0999999999999996</v>
      </c>
      <c r="G205" s="69">
        <v>3.1499999999999995</v>
      </c>
      <c r="H205" s="69">
        <v>3.1999999999999997</v>
      </c>
      <c r="I205" s="69">
        <v>3.25</v>
      </c>
      <c r="J205" s="69">
        <v>3.3</v>
      </c>
      <c r="K205" s="69">
        <v>3.3499999999999996</v>
      </c>
      <c r="L205" s="69">
        <v>3.4</v>
      </c>
      <c r="M205" s="69">
        <v>3.45</v>
      </c>
      <c r="N205" s="68">
        <v>3.5</v>
      </c>
      <c r="O205" s="69">
        <v>3.5249999999999999</v>
      </c>
      <c r="P205" s="69">
        <v>3.55</v>
      </c>
      <c r="Q205" s="69">
        <v>3.5749999999999997</v>
      </c>
      <c r="R205" s="69">
        <v>3.5999999999999996</v>
      </c>
      <c r="S205" s="69">
        <v>3.6249999999999996</v>
      </c>
      <c r="T205" s="69">
        <v>3.6499999999999995</v>
      </c>
      <c r="U205" s="69">
        <v>3.6749999999999998</v>
      </c>
      <c r="V205" s="69">
        <v>3.6999999999999997</v>
      </c>
      <c r="W205" s="69">
        <v>3.7249999999999996</v>
      </c>
      <c r="X205" s="68">
        <v>3.75</v>
      </c>
      <c r="Y205" s="69">
        <v>3.75</v>
      </c>
      <c r="Z205" s="69">
        <v>3.75</v>
      </c>
      <c r="AA205" s="69">
        <v>3.75</v>
      </c>
      <c r="AB205" s="69">
        <v>3.75</v>
      </c>
      <c r="AC205" s="69">
        <v>3.75</v>
      </c>
      <c r="AD205" s="69">
        <v>3.75</v>
      </c>
      <c r="AE205" s="69">
        <v>3.75</v>
      </c>
      <c r="AF205" s="69">
        <v>3.75</v>
      </c>
      <c r="AG205" s="69">
        <v>3.75</v>
      </c>
      <c r="AH205" s="70">
        <v>3.75</v>
      </c>
    </row>
    <row r="206" spans="1:36" x14ac:dyDescent="0.7">
      <c r="A206" s="545" t="s">
        <v>153</v>
      </c>
      <c r="B206" s="546"/>
      <c r="C206" s="547"/>
      <c r="D206" s="68">
        <v>2.35</v>
      </c>
      <c r="E206" s="69">
        <v>2.3891666666666667</v>
      </c>
      <c r="F206" s="69">
        <v>2.4283333333333332</v>
      </c>
      <c r="G206" s="69">
        <v>2.4674999999999998</v>
      </c>
      <c r="H206" s="69">
        <v>2.5066666666666668</v>
      </c>
      <c r="I206" s="69">
        <v>2.5458333333333334</v>
      </c>
      <c r="J206" s="69">
        <v>2.585</v>
      </c>
      <c r="K206" s="69">
        <v>2.6241666666666665</v>
      </c>
      <c r="L206" s="69">
        <v>2.6633333333333331</v>
      </c>
      <c r="M206" s="69">
        <v>2.7025000000000001</v>
      </c>
      <c r="N206" s="69">
        <v>2.7416666666666663</v>
      </c>
      <c r="O206" s="69">
        <v>2.7612499999999995</v>
      </c>
      <c r="P206" s="69">
        <v>2.7808333333333324</v>
      </c>
      <c r="Q206" s="69">
        <v>2.8004166666666657</v>
      </c>
      <c r="R206" s="69">
        <v>2.8199999999999985</v>
      </c>
      <c r="S206" s="69">
        <v>2.8395833333333318</v>
      </c>
      <c r="T206" s="69">
        <v>2.8591666666666651</v>
      </c>
      <c r="U206" s="69">
        <v>2.8787499999999984</v>
      </c>
      <c r="V206" s="69">
        <v>2.8983333333333317</v>
      </c>
      <c r="W206" s="69">
        <v>2.9179166666666649</v>
      </c>
      <c r="X206" s="69">
        <v>2.9374999999999987</v>
      </c>
      <c r="Y206" s="69">
        <v>2.9374999999999987</v>
      </c>
      <c r="Z206" s="69">
        <v>2.9374999999999987</v>
      </c>
      <c r="AA206" s="69">
        <v>2.9374999999999987</v>
      </c>
      <c r="AB206" s="69">
        <v>2.9374999999999987</v>
      </c>
      <c r="AC206" s="69">
        <v>2.9374999999999987</v>
      </c>
      <c r="AD206" s="69">
        <v>2.9374999999999987</v>
      </c>
      <c r="AE206" s="69">
        <v>2.9374999999999987</v>
      </c>
      <c r="AF206" s="69">
        <v>2.9374999999999987</v>
      </c>
      <c r="AG206" s="69">
        <v>2.9374999999999987</v>
      </c>
      <c r="AH206" s="69">
        <v>2.9374999999999987</v>
      </c>
    </row>
    <row r="207" spans="1:36" x14ac:dyDescent="0.7">
      <c r="A207" s="545" t="s">
        <v>154</v>
      </c>
      <c r="B207" s="546"/>
      <c r="C207" s="547"/>
      <c r="D207" s="68">
        <v>3</v>
      </c>
      <c r="E207" s="69">
        <v>3.0249999999999999</v>
      </c>
      <c r="F207" s="69">
        <v>3.05</v>
      </c>
      <c r="G207" s="69">
        <v>3.0749999999999997</v>
      </c>
      <c r="H207" s="69">
        <v>3.0999999999999996</v>
      </c>
      <c r="I207" s="69">
        <v>3.1249999999999996</v>
      </c>
      <c r="J207" s="69">
        <v>3.1499999999999995</v>
      </c>
      <c r="K207" s="69">
        <v>3.1749999999999998</v>
      </c>
      <c r="L207" s="69">
        <v>3.1999999999999997</v>
      </c>
      <c r="M207" s="69">
        <v>3.2249999999999996</v>
      </c>
      <c r="N207" s="68">
        <v>3.25</v>
      </c>
      <c r="O207" s="69">
        <v>3.26</v>
      </c>
      <c r="P207" s="69">
        <v>3.27</v>
      </c>
      <c r="Q207" s="69">
        <v>3.2800000000000002</v>
      </c>
      <c r="R207" s="69">
        <v>3.29</v>
      </c>
      <c r="S207" s="69">
        <v>3.3</v>
      </c>
      <c r="T207" s="69">
        <v>3.31</v>
      </c>
      <c r="U207" s="69">
        <v>3.3200000000000003</v>
      </c>
      <c r="V207" s="69">
        <v>3.33</v>
      </c>
      <c r="W207" s="69">
        <v>3.34</v>
      </c>
      <c r="X207" s="68">
        <v>3.35</v>
      </c>
      <c r="Y207" s="69">
        <v>3.3580000000000001</v>
      </c>
      <c r="Z207" s="69">
        <v>3.3660000000000001</v>
      </c>
      <c r="AA207" s="69">
        <v>3.3740000000000001</v>
      </c>
      <c r="AB207" s="69">
        <v>3.3820000000000001</v>
      </c>
      <c r="AC207" s="69">
        <v>3.39</v>
      </c>
      <c r="AD207" s="69">
        <v>3.3980000000000001</v>
      </c>
      <c r="AE207" s="69">
        <v>3.4060000000000001</v>
      </c>
      <c r="AF207" s="69">
        <v>3.4140000000000001</v>
      </c>
      <c r="AG207" s="69">
        <v>3.4220000000000002</v>
      </c>
      <c r="AH207" s="70">
        <v>3.43</v>
      </c>
    </row>
    <row r="208" spans="1:36" ht="20.399999999999999" customHeight="1" x14ac:dyDescent="0.7">
      <c r="A208" s="556" t="s">
        <v>155</v>
      </c>
      <c r="B208" s="557"/>
      <c r="C208" s="558"/>
      <c r="D208" s="231">
        <v>2.35</v>
      </c>
      <c r="E208" s="232">
        <v>2.3695833333333334</v>
      </c>
      <c r="F208" s="232">
        <v>2.3891666666666667</v>
      </c>
      <c r="G208" s="232">
        <v>2.4087499999999999</v>
      </c>
      <c r="H208" s="232">
        <v>2.4283333333333332</v>
      </c>
      <c r="I208" s="232">
        <v>2.4479166666666665</v>
      </c>
      <c r="J208" s="232">
        <v>2.4674999999999998</v>
      </c>
      <c r="K208" s="232">
        <v>2.4870833333333335</v>
      </c>
      <c r="L208" s="232">
        <v>2.5066666666666668</v>
      </c>
      <c r="M208" s="232">
        <v>2.5262500000000001</v>
      </c>
      <c r="N208" s="232">
        <v>2.5458333333333334</v>
      </c>
      <c r="O208" s="232">
        <v>2.5536666666666665</v>
      </c>
      <c r="P208" s="232">
        <v>2.5614999999999997</v>
      </c>
      <c r="Q208" s="232">
        <v>2.5693333333333332</v>
      </c>
      <c r="R208" s="232">
        <v>2.5771666666666664</v>
      </c>
      <c r="S208" s="232">
        <v>2.5849999999999995</v>
      </c>
      <c r="T208" s="232">
        <v>2.5928333333333331</v>
      </c>
      <c r="U208" s="232">
        <v>2.6006666666666667</v>
      </c>
      <c r="V208" s="232">
        <v>2.6085000000000003</v>
      </c>
      <c r="W208" s="232">
        <v>2.6163333333333338</v>
      </c>
      <c r="X208" s="232">
        <v>2.624166666666667</v>
      </c>
      <c r="Y208" s="232">
        <v>2.6304333333333334</v>
      </c>
      <c r="Z208" s="232">
        <v>2.6367000000000003</v>
      </c>
      <c r="AA208" s="232">
        <v>2.6429666666666667</v>
      </c>
      <c r="AB208" s="232">
        <v>2.6492333333333336</v>
      </c>
      <c r="AC208" s="232">
        <v>2.6555</v>
      </c>
      <c r="AD208" s="232">
        <v>2.6617666666666664</v>
      </c>
      <c r="AE208" s="232">
        <v>2.6680333333333328</v>
      </c>
      <c r="AF208" s="232">
        <v>2.6742999999999992</v>
      </c>
      <c r="AG208" s="232">
        <v>2.6805666666666657</v>
      </c>
      <c r="AH208" s="232">
        <v>2.6868333333333321</v>
      </c>
    </row>
    <row r="209" spans="1:81" ht="24" x14ac:dyDescent="0.85">
      <c r="A209" s="548" t="s">
        <v>298</v>
      </c>
      <c r="B209" s="549"/>
      <c r="C209" s="549"/>
      <c r="D209" s="549"/>
      <c r="E209" s="549"/>
      <c r="F209" s="549"/>
      <c r="G209" s="549"/>
      <c r="H209" s="549"/>
      <c r="I209" s="549"/>
      <c r="J209" s="549"/>
      <c r="K209" s="549"/>
      <c r="L209" s="549"/>
      <c r="M209" s="549"/>
      <c r="N209" s="549"/>
      <c r="O209" s="549"/>
      <c r="P209" s="549"/>
      <c r="Q209" s="549"/>
      <c r="R209" s="549"/>
      <c r="S209" s="549"/>
      <c r="T209" s="549"/>
      <c r="U209" s="549"/>
      <c r="V209" s="549"/>
      <c r="W209" s="549"/>
      <c r="X209" s="549"/>
      <c r="Y209" s="549"/>
      <c r="Z209" s="549"/>
      <c r="AA209" s="549"/>
      <c r="AB209" s="549"/>
      <c r="AC209" s="549"/>
      <c r="AD209" s="549"/>
      <c r="AE209" s="549"/>
      <c r="AF209" s="549"/>
      <c r="AG209" s="549"/>
      <c r="AH209" s="549"/>
      <c r="AI209" s="226"/>
      <c r="AJ209" s="227"/>
    </row>
    <row r="210" spans="1:81" ht="24" x14ac:dyDescent="0.7">
      <c r="A210" s="559" t="s">
        <v>149</v>
      </c>
      <c r="B210" s="560"/>
      <c r="C210" s="561"/>
      <c r="D210" s="291">
        <v>2018</v>
      </c>
      <c r="E210" s="291">
        <v>2019</v>
      </c>
      <c r="F210" s="291">
        <v>2020</v>
      </c>
      <c r="G210" s="291">
        <v>2021</v>
      </c>
      <c r="H210" s="291">
        <v>2022</v>
      </c>
      <c r="I210" s="291">
        <v>2023</v>
      </c>
      <c r="J210" s="291">
        <v>2024</v>
      </c>
      <c r="K210" s="291">
        <v>2025</v>
      </c>
      <c r="L210" s="291">
        <v>2026</v>
      </c>
      <c r="M210" s="291">
        <v>2027</v>
      </c>
      <c r="N210" s="291">
        <v>2028</v>
      </c>
      <c r="O210" s="291">
        <v>2029</v>
      </c>
      <c r="P210" s="291">
        <v>2030</v>
      </c>
      <c r="Q210" s="291">
        <v>2031</v>
      </c>
      <c r="R210" s="291">
        <v>2032</v>
      </c>
      <c r="S210" s="291">
        <v>2033</v>
      </c>
      <c r="T210" s="291">
        <v>2034</v>
      </c>
      <c r="U210" s="291">
        <v>2035</v>
      </c>
      <c r="V210" s="291">
        <v>2036</v>
      </c>
      <c r="W210" s="291">
        <v>2037</v>
      </c>
      <c r="X210" s="291">
        <v>2038</v>
      </c>
      <c r="Y210" s="291">
        <v>2039</v>
      </c>
      <c r="Z210" s="24">
        <v>2040</v>
      </c>
      <c r="AA210" s="24">
        <v>2041</v>
      </c>
      <c r="AB210" s="24">
        <v>2042</v>
      </c>
      <c r="AC210" s="24">
        <v>2043</v>
      </c>
      <c r="AD210" s="24">
        <v>2044</v>
      </c>
      <c r="AE210" s="24">
        <v>2045</v>
      </c>
      <c r="AF210" s="24">
        <v>2046</v>
      </c>
      <c r="AG210" s="24">
        <v>2047</v>
      </c>
      <c r="AH210" s="24">
        <v>2048</v>
      </c>
      <c r="AI210" s="24">
        <v>2049</v>
      </c>
      <c r="AJ210" s="24">
        <v>2050</v>
      </c>
    </row>
    <row r="211" spans="1:81" x14ac:dyDescent="0.7">
      <c r="A211" s="545" t="s">
        <v>366</v>
      </c>
      <c r="B211" s="546"/>
      <c r="C211" s="547"/>
      <c r="D211" s="145">
        <v>0.15797762420842024</v>
      </c>
      <c r="E211" s="145">
        <v>0.15334221298</v>
      </c>
      <c r="F211" s="145">
        <v>0.15317304577153174</v>
      </c>
      <c r="G211" s="145">
        <v>0.15426964978999999</v>
      </c>
      <c r="H211" s="145">
        <v>0.15632774026999999</v>
      </c>
      <c r="I211" s="145">
        <v>0.15829066472</v>
      </c>
      <c r="J211" s="145">
        <v>0.16077078558999999</v>
      </c>
      <c r="K211" s="145">
        <v>0.16378644085836214</v>
      </c>
      <c r="L211" s="145">
        <v>0.1672313936</v>
      </c>
      <c r="M211" s="145">
        <v>0.17126772324000003</v>
      </c>
      <c r="N211" s="145">
        <v>0.17537491499000002</v>
      </c>
      <c r="O211" s="145">
        <v>0.17962796048179627</v>
      </c>
      <c r="P211" s="145">
        <v>0.18368860654183689</v>
      </c>
      <c r="Q211" s="145">
        <v>0.18582877014185828</v>
      </c>
      <c r="R211" s="145">
        <v>0.18677127422000003</v>
      </c>
      <c r="S211" s="145">
        <v>0.1880800188381192</v>
      </c>
      <c r="T211" s="145">
        <v>0.18890189658811096</v>
      </c>
      <c r="U211" s="145">
        <v>0.18879420387000004</v>
      </c>
      <c r="V211" s="145">
        <v>0.18786091307812139</v>
      </c>
      <c r="W211" s="145">
        <v>0.18720129302187202</v>
      </c>
      <c r="X211" s="145">
        <v>0.18739298729000003</v>
      </c>
      <c r="Y211" s="145">
        <v>0.18776507981187765</v>
      </c>
      <c r="Z211" s="145">
        <v>0.18886756520188869</v>
      </c>
      <c r="AA211" s="145">
        <v>0.1904796970180952</v>
      </c>
      <c r="AB211" s="145">
        <v>0.19244364956192445</v>
      </c>
      <c r="AC211" s="145">
        <v>0.19486711605000001</v>
      </c>
      <c r="AD211" s="145">
        <v>0.1973349549</v>
      </c>
      <c r="AE211" s="145">
        <v>0.19954717084000001</v>
      </c>
      <c r="AF211" s="145">
        <v>0.20169823066201698</v>
      </c>
      <c r="AG211" s="145">
        <v>0.20374394554203742</v>
      </c>
      <c r="AH211" s="145">
        <v>0.20556712529794427</v>
      </c>
      <c r="AI211" s="145">
        <v>0.20767335540000001</v>
      </c>
      <c r="AJ211" s="145">
        <v>0.2097481706120975</v>
      </c>
    </row>
    <row r="212" spans="1:81" x14ac:dyDescent="0.7">
      <c r="A212" s="545" t="s">
        <v>299</v>
      </c>
      <c r="B212" s="546"/>
      <c r="C212" s="547"/>
      <c r="D212" s="145">
        <v>1.3241416999999999E-4</v>
      </c>
      <c r="E212" s="145">
        <v>1.9119920999808801E-4</v>
      </c>
      <c r="F212" s="145">
        <v>2.7571643999724281E-4</v>
      </c>
      <c r="G212" s="145">
        <v>3.9683843000000001E-4</v>
      </c>
      <c r="H212" s="145">
        <v>5.6961802999430384E-4</v>
      </c>
      <c r="I212" s="145">
        <v>8.1446196999999997E-4</v>
      </c>
      <c r="J212" s="145">
        <v>1.15820609E-3</v>
      </c>
      <c r="K212" s="145">
        <v>1.6345282599836547E-3</v>
      </c>
      <c r="L212" s="145">
        <v>2.2827321299771727E-3</v>
      </c>
      <c r="M212" s="145">
        <v>3.1434788099685652E-3</v>
      </c>
      <c r="N212" s="145">
        <v>4.2499927999999996E-3</v>
      </c>
      <c r="O212" s="145">
        <v>5.6146338800561468E-3</v>
      </c>
      <c r="P212" s="145">
        <v>7.2140386899999997E-3</v>
      </c>
      <c r="Q212" s="145">
        <v>8.9803587700000003E-3</v>
      </c>
      <c r="R212" s="145">
        <v>1.0807426490000001E-2</v>
      </c>
      <c r="S212" s="145">
        <v>1.2573869439874262E-2</v>
      </c>
      <c r="T212" s="145">
        <v>1.417353446E-2</v>
      </c>
      <c r="U212" s="145">
        <v>1.553853642E-2</v>
      </c>
      <c r="V212" s="145">
        <v>1.6645387889999998E-2</v>
      </c>
      <c r="W212" s="145">
        <v>1.7506444020000001E-2</v>
      </c>
      <c r="X212" s="145">
        <v>1.8154987139999999E-2</v>
      </c>
      <c r="Y212" s="145">
        <v>1.8631580250000002E-2</v>
      </c>
      <c r="Z212" s="145">
        <v>1.897557029E-2</v>
      </c>
      <c r="AA212" s="145">
        <v>1.9220628999999999E-2</v>
      </c>
      <c r="AB212" s="145">
        <v>1.9393617639999999E-2</v>
      </c>
      <c r="AC212" s="145">
        <v>1.9514977240195151E-2</v>
      </c>
      <c r="AD212" s="145">
        <v>1.9599747130195997E-2</v>
      </c>
      <c r="AE212" s="145">
        <v>1.965875446E-2</v>
      </c>
      <c r="AF212" s="145">
        <v>1.9791440630000001E-2</v>
      </c>
      <c r="AG212" s="145">
        <v>1.9791666610000005E-2</v>
      </c>
      <c r="AH212" s="145">
        <v>1.9791852469802081E-2</v>
      </c>
      <c r="AI212" s="145">
        <v>1.9792070049999999E-2</v>
      </c>
      <c r="AJ212" s="145">
        <v>1.9792301330000001E-2</v>
      </c>
    </row>
    <row r="213" spans="1:81" ht="21.75" customHeight="1" x14ac:dyDescent="0.7">
      <c r="A213" s="545" t="s">
        <v>367</v>
      </c>
      <c r="B213" s="546"/>
      <c r="C213" s="547"/>
      <c r="D213" s="145">
        <v>0.12565453604999999</v>
      </c>
      <c r="E213" s="145">
        <v>0.12558293319125582</v>
      </c>
      <c r="F213" s="145">
        <v>0.12550228472000002</v>
      </c>
      <c r="G213" s="145">
        <v>0.12550529950125505</v>
      </c>
      <c r="H213" s="145">
        <v>0.12552891015874471</v>
      </c>
      <c r="I213" s="145">
        <v>0.1255400946512554</v>
      </c>
      <c r="J213" s="145">
        <v>0.12554237295000001</v>
      </c>
      <c r="K213" s="145">
        <v>0.12556386508000003</v>
      </c>
      <c r="L213" s="145">
        <v>0.12552879262</v>
      </c>
      <c r="M213" s="145">
        <v>0.12552665472874472</v>
      </c>
      <c r="N213" s="145">
        <v>0.12553834630874461</v>
      </c>
      <c r="O213" s="145">
        <v>0.12556275646000001</v>
      </c>
      <c r="P213" s="145">
        <v>0.12557365394125575</v>
      </c>
      <c r="Q213" s="145">
        <v>0.12568529443874316</v>
      </c>
      <c r="R213" s="145">
        <v>0.12573675683999999</v>
      </c>
      <c r="S213" s="145">
        <v>0.12577419323125771</v>
      </c>
      <c r="T213" s="145">
        <v>0.12583964932125841</v>
      </c>
      <c r="U213" s="145">
        <v>0.1259704617687403</v>
      </c>
      <c r="V213" s="145">
        <v>0.1259752859825195</v>
      </c>
      <c r="W213" s="145">
        <v>0.12598358719874017</v>
      </c>
      <c r="X213" s="145">
        <v>0.12601558026999998</v>
      </c>
      <c r="Y213" s="145">
        <v>0.12596591411874034</v>
      </c>
      <c r="Z213" s="145">
        <v>0.12595427681251911</v>
      </c>
      <c r="AA213" s="145">
        <v>0.12590965025125908</v>
      </c>
      <c r="AB213" s="145">
        <v>0.12590147441999999</v>
      </c>
      <c r="AC213" s="145">
        <v>0.12584775773125847</v>
      </c>
      <c r="AD213" s="145">
        <v>0.12585754832000001</v>
      </c>
      <c r="AE213" s="145">
        <v>0.12581636169999999</v>
      </c>
      <c r="AF213" s="145">
        <v>0.12582159203874177</v>
      </c>
      <c r="AG213" s="145">
        <v>0.12582789628999999</v>
      </c>
      <c r="AH213" s="145">
        <v>0.12584537869000001</v>
      </c>
      <c r="AI213" s="145">
        <v>0.1258503101512585</v>
      </c>
      <c r="AJ213" s="145">
        <v>0.12588092273125881</v>
      </c>
    </row>
    <row r="214" spans="1:81" ht="20.399999999999999" customHeight="1" x14ac:dyDescent="0.7">
      <c r="A214" s="562" t="s">
        <v>300</v>
      </c>
      <c r="B214" s="562"/>
      <c r="C214" s="562"/>
      <c r="D214" s="375">
        <v>2.6370508000263704E-4</v>
      </c>
      <c r="E214" s="375">
        <v>3.2058959000320588E-4</v>
      </c>
      <c r="F214" s="375">
        <v>4.0433134999595671E-4</v>
      </c>
      <c r="G214" s="375">
        <v>5.2406912999999997E-4</v>
      </c>
      <c r="H214" s="375">
        <v>6.9559953000695605E-4</v>
      </c>
      <c r="I214" s="375">
        <v>9.393200300000001E-4</v>
      </c>
      <c r="J214" s="375">
        <v>1.28229151E-3</v>
      </c>
      <c r="K214" s="375">
        <v>1.75822938E-3</v>
      </c>
      <c r="L214" s="375">
        <v>2.4067920900000001E-3</v>
      </c>
      <c r="M214" s="375">
        <v>3.2684740800000005E-3</v>
      </c>
      <c r="N214" s="375">
        <v>4.3768214300437683E-3</v>
      </c>
      <c r="O214" s="375">
        <v>5.7439666499425604E-3</v>
      </c>
      <c r="P214" s="375">
        <v>7.3466689199999996E-3</v>
      </c>
      <c r="Q214" s="375">
        <v>9.1168416900911688E-3</v>
      </c>
      <c r="R214" s="375">
        <v>1.0947670350109477E-2</v>
      </c>
      <c r="S214" s="375">
        <v>1.271793002E-2</v>
      </c>
      <c r="T214" s="375">
        <v>1.432048097E-2</v>
      </c>
      <c r="U214" s="375">
        <v>1.5687656309999999E-2</v>
      </c>
      <c r="V214" s="375">
        <v>1.6795879270000001E-2</v>
      </c>
      <c r="W214" s="375">
        <v>1.765780543E-2</v>
      </c>
      <c r="X214" s="375">
        <v>1.8306491570183065E-2</v>
      </c>
      <c r="Y214" s="375">
        <v>1.8782381850187827E-2</v>
      </c>
      <c r="Z214" s="375">
        <v>1.9125853870000004E-2</v>
      </c>
      <c r="AA214" s="375">
        <v>1.9369713229806303E-2</v>
      </c>
      <c r="AB214" s="375">
        <v>1.954142557E-2</v>
      </c>
      <c r="AC214" s="375">
        <v>1.9661426409999998E-2</v>
      </c>
      <c r="AD214" s="145">
        <v>1.97447215E-2</v>
      </c>
      <c r="AE214" s="145">
        <v>1.980205849E-2</v>
      </c>
      <c r="AF214" s="145">
        <v>1.993352768E-2</v>
      </c>
      <c r="AG214" s="145">
        <v>1.9931740749999999E-2</v>
      </c>
      <c r="AH214" s="145">
        <v>1.9930122509999999E-2</v>
      </c>
      <c r="AI214" s="145">
        <v>1.992863286E-2</v>
      </c>
      <c r="AJ214" s="145">
        <v>1.9926960890199272E-2</v>
      </c>
    </row>
    <row r="215" spans="1:81" s="13" customFormat="1" ht="31.8" x14ac:dyDescent="0.85">
      <c r="A215" s="285" t="s">
        <v>560</v>
      </c>
      <c r="B215" s="284"/>
      <c r="C215" s="282"/>
      <c r="D215" s="282"/>
      <c r="E215" s="282"/>
      <c r="F215" s="282"/>
      <c r="G215" s="282"/>
      <c r="H215" s="282"/>
      <c r="I215" s="282"/>
      <c r="J215" s="282"/>
      <c r="K215" s="282"/>
      <c r="L215" s="282"/>
      <c r="M215" s="282"/>
      <c r="N215" s="282"/>
      <c r="O215" s="282"/>
      <c r="P215" s="282"/>
      <c r="Q215" s="282"/>
      <c r="R215" s="282"/>
      <c r="S215" s="282"/>
      <c r="T215" s="282"/>
      <c r="U215" s="282"/>
      <c r="V215" s="282"/>
      <c r="W215" s="282"/>
      <c r="X215" s="282"/>
      <c r="Y215" s="282"/>
      <c r="Z215" s="282"/>
      <c r="AA215" s="282"/>
      <c r="AB215" s="282"/>
      <c r="AC215" s="283"/>
      <c r="AD215" s="302"/>
      <c r="AE215" s="302"/>
      <c r="AF215" s="302"/>
      <c r="AG215" s="302"/>
      <c r="AH215" s="61"/>
      <c r="AI215" s="61"/>
      <c r="AJ215" s="61"/>
      <c r="AK215" s="61"/>
      <c r="AL215" s="61"/>
      <c r="AM215" s="61"/>
      <c r="AN215" s="61"/>
      <c r="AO215" s="61"/>
      <c r="AP215" s="61"/>
      <c r="AQ215" s="61"/>
      <c r="AR215" s="61"/>
      <c r="AS215" s="61"/>
      <c r="AT215" s="61"/>
      <c r="AU215" s="61"/>
      <c r="AV215" s="61"/>
      <c r="AW215" s="61"/>
      <c r="AX215" s="61"/>
      <c r="AY215" s="61"/>
      <c r="AZ215" s="61"/>
      <c r="BA215" s="61"/>
      <c r="BB215" s="61"/>
      <c r="BC215" s="61"/>
      <c r="BD215" s="61"/>
      <c r="BE215" s="61"/>
      <c r="BF215" s="61"/>
      <c r="BG215" s="61"/>
      <c r="BH215" s="61"/>
      <c r="BI215" s="61"/>
      <c r="BJ215" s="61"/>
      <c r="BK215" s="61"/>
      <c r="BL215" s="61"/>
      <c r="BM215" s="61"/>
      <c r="BN215" s="61"/>
      <c r="BO215" s="61"/>
      <c r="BP215" s="61"/>
      <c r="BQ215" s="61"/>
      <c r="BR215" s="61"/>
      <c r="BS215" s="61"/>
      <c r="BT215" s="61"/>
      <c r="BU215" s="61"/>
      <c r="BV215" s="61"/>
      <c r="BW215" s="61"/>
      <c r="BX215" s="61"/>
      <c r="BY215" s="61"/>
      <c r="BZ215" s="61"/>
      <c r="CA215" s="61"/>
      <c r="CB215" s="61"/>
      <c r="CC215" s="61"/>
    </row>
    <row r="216" spans="1:81" s="301" customFormat="1" ht="24" x14ac:dyDescent="0.85">
      <c r="A216" s="311" t="s">
        <v>36</v>
      </c>
      <c r="B216" s="312"/>
      <c r="C216" s="312"/>
      <c r="D216" s="312"/>
      <c r="E216" s="312"/>
      <c r="F216" s="312"/>
      <c r="G216" s="312"/>
      <c r="H216" s="312"/>
      <c r="I216" s="312"/>
      <c r="J216" s="312"/>
      <c r="K216" s="312"/>
      <c r="L216" s="312"/>
      <c r="M216" s="312"/>
      <c r="N216" s="312"/>
      <c r="O216" s="312"/>
      <c r="P216" s="312"/>
      <c r="Q216" s="312"/>
      <c r="R216" s="312"/>
      <c r="S216" s="312"/>
      <c r="T216" s="312"/>
      <c r="U216" s="312"/>
      <c r="V216" s="312"/>
      <c r="W216" s="312"/>
      <c r="X216" s="312"/>
      <c r="Y216" s="312"/>
      <c r="Z216" s="312"/>
      <c r="AA216" s="312"/>
      <c r="AB216" s="312"/>
      <c r="AC216" s="313"/>
    </row>
    <row r="217" spans="1:81" s="13" customFormat="1" ht="72" customHeight="1" x14ac:dyDescent="0.7">
      <c r="A217" s="554" t="s">
        <v>561</v>
      </c>
      <c r="B217" s="555"/>
      <c r="C217" s="555"/>
      <c r="D217" s="555"/>
      <c r="E217" s="555"/>
      <c r="F217" s="555"/>
      <c r="G217" s="555"/>
      <c r="H217" s="555"/>
      <c r="I217" s="555"/>
      <c r="J217" s="555"/>
      <c r="K217" s="555"/>
      <c r="L217" s="555"/>
      <c r="M217" s="301"/>
      <c r="N217" s="301"/>
      <c r="O217" s="301"/>
      <c r="P217" s="301"/>
      <c r="Q217" s="301"/>
      <c r="R217" s="301"/>
      <c r="S217" s="301"/>
      <c r="T217" s="301"/>
      <c r="U217" s="301"/>
      <c r="V217" s="301"/>
      <c r="W217" s="301"/>
      <c r="X217" s="301"/>
      <c r="Y217" s="301"/>
      <c r="Z217" s="30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row>
    <row r="218" spans="1:81" s="13" customFormat="1" ht="21.75" customHeight="1" x14ac:dyDescent="0.7">
      <c r="A218" s="554" t="s">
        <v>562</v>
      </c>
      <c r="B218" s="555"/>
      <c r="C218" s="555"/>
      <c r="D218" s="555"/>
      <c r="E218" s="555"/>
      <c r="F218" s="555"/>
      <c r="G218" s="555"/>
      <c r="H218" s="555"/>
      <c r="I218" s="555"/>
      <c r="J218" s="555"/>
      <c r="K218" s="555"/>
      <c r="L218" s="555"/>
      <c r="M218" s="301"/>
      <c r="N218" s="301"/>
      <c r="O218" s="301"/>
      <c r="P218" s="301"/>
      <c r="Q218" s="301"/>
      <c r="R218" s="301"/>
      <c r="S218" s="301"/>
      <c r="T218" s="301"/>
      <c r="U218" s="301"/>
      <c r="V218" s="301"/>
      <c r="W218" s="301"/>
      <c r="X218" s="301"/>
      <c r="Y218" s="301"/>
      <c r="Z218" s="30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row>
    <row r="219" spans="1:81" s="13" customFormat="1" ht="51.75" customHeight="1" x14ac:dyDescent="0.7">
      <c r="A219" s="554" t="s">
        <v>563</v>
      </c>
      <c r="B219" s="555"/>
      <c r="C219" s="555"/>
      <c r="D219" s="555"/>
      <c r="E219" s="555"/>
      <c r="F219" s="555"/>
      <c r="G219" s="555"/>
      <c r="H219" s="555"/>
      <c r="I219" s="555"/>
      <c r="J219" s="555"/>
      <c r="K219" s="555"/>
      <c r="L219" s="555"/>
      <c r="M219" s="301"/>
      <c r="N219" s="301"/>
      <c r="O219" s="301"/>
      <c r="P219" s="301"/>
      <c r="Q219" s="301"/>
      <c r="R219" s="301"/>
      <c r="S219" s="301"/>
      <c r="T219" s="301"/>
      <c r="U219" s="301"/>
      <c r="V219" s="301"/>
      <c r="W219" s="301"/>
      <c r="X219" s="301"/>
      <c r="Y219" s="301"/>
      <c r="Z219" s="30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row>
    <row r="220" spans="1:81" s="13" customFormat="1" ht="44.25" customHeight="1" x14ac:dyDescent="0.7">
      <c r="A220" s="552" t="s">
        <v>657</v>
      </c>
      <c r="B220" s="553"/>
      <c r="C220" s="553"/>
      <c r="D220" s="553"/>
      <c r="E220" s="553"/>
      <c r="F220" s="553"/>
      <c r="G220" s="553"/>
      <c r="H220" s="553"/>
      <c r="I220" s="553"/>
      <c r="J220" s="553"/>
      <c r="K220" s="553"/>
      <c r="L220" s="553"/>
      <c r="M220" s="301"/>
      <c r="N220" s="301"/>
      <c r="O220" s="301"/>
      <c r="P220" s="301"/>
      <c r="Q220" s="301"/>
      <c r="R220" s="301"/>
      <c r="S220" s="301"/>
      <c r="T220" s="301"/>
      <c r="U220" s="301"/>
      <c r="V220" s="301"/>
      <c r="W220" s="301"/>
      <c r="X220" s="301"/>
      <c r="Y220" s="301"/>
      <c r="Z220" s="301"/>
      <c r="AA220" s="61"/>
      <c r="AB220" s="61"/>
      <c r="AC220" s="61"/>
      <c r="AD220" s="61"/>
      <c r="AE220" s="61"/>
      <c r="AF220" s="61"/>
      <c r="AG220" s="61"/>
      <c r="AH220" s="61"/>
      <c r="AI220" s="61"/>
      <c r="AJ220" s="61"/>
      <c r="AK220" s="61"/>
      <c r="AL220" s="61"/>
      <c r="AM220" s="61"/>
      <c r="AN220" s="61"/>
      <c r="AO220" s="61"/>
      <c r="AP220" s="61"/>
      <c r="AQ220" s="61"/>
      <c r="AR220" s="61"/>
      <c r="AS220" s="61"/>
      <c r="AT220" s="61"/>
      <c r="AU220" s="61"/>
      <c r="AV220" s="61"/>
      <c r="AW220" s="61"/>
      <c r="AX220" s="61"/>
      <c r="AY220" s="61"/>
      <c r="AZ220" s="61"/>
      <c r="BA220" s="61"/>
      <c r="BB220" s="61"/>
      <c r="BC220" s="61"/>
      <c r="BD220" s="61"/>
      <c r="BE220" s="61"/>
      <c r="BF220" s="61"/>
      <c r="BG220" s="61"/>
    </row>
    <row r="221" spans="1:81" s="304" customFormat="1" ht="24" x14ac:dyDescent="0.85">
      <c r="A221" s="71" t="s">
        <v>625</v>
      </c>
      <c r="B221" s="279"/>
      <c r="C221" s="279"/>
      <c r="D221" s="279"/>
      <c r="E221" s="279"/>
      <c r="F221" s="279"/>
      <c r="G221" s="279"/>
      <c r="H221" s="279"/>
      <c r="I221" s="279"/>
      <c r="J221" s="279"/>
      <c r="K221" s="279"/>
      <c r="L221" s="279"/>
      <c r="M221" s="279"/>
      <c r="N221" s="279"/>
      <c r="O221" s="279"/>
      <c r="P221" s="279"/>
      <c r="Q221" s="279"/>
      <c r="R221" s="279"/>
      <c r="S221" s="279"/>
      <c r="T221" s="279"/>
      <c r="U221" s="279"/>
      <c r="V221" s="279"/>
      <c r="W221" s="279"/>
      <c r="X221" s="279"/>
      <c r="Y221" s="279"/>
      <c r="Z221" s="279"/>
      <c r="AA221" s="279"/>
      <c r="AB221" s="279"/>
      <c r="AC221" s="280"/>
      <c r="AD221" s="303"/>
      <c r="AE221" s="303"/>
      <c r="AF221" s="303"/>
      <c r="AG221" s="303"/>
      <c r="AH221" s="303"/>
      <c r="AI221" s="303"/>
      <c r="AJ221" s="303"/>
      <c r="AK221" s="303"/>
      <c r="AL221" s="303"/>
      <c r="AM221" s="303"/>
      <c r="AN221" s="303"/>
      <c r="AO221" s="303"/>
      <c r="AP221" s="303"/>
      <c r="AQ221" s="303"/>
      <c r="AR221" s="303"/>
      <c r="AS221" s="303"/>
      <c r="AT221" s="303"/>
      <c r="AU221" s="303"/>
      <c r="AV221" s="303"/>
      <c r="AW221" s="303"/>
      <c r="AX221" s="303"/>
      <c r="AY221" s="303"/>
      <c r="AZ221" s="303"/>
      <c r="BA221" s="303"/>
      <c r="BB221" s="303"/>
      <c r="BC221" s="303"/>
      <c r="BD221" s="303"/>
      <c r="BE221" s="303"/>
      <c r="BF221" s="303"/>
      <c r="BG221" s="303"/>
      <c r="BH221" s="303"/>
      <c r="BI221" s="303"/>
      <c r="BJ221" s="303"/>
      <c r="BK221" s="303"/>
    </row>
    <row r="222" spans="1:81" s="13" customFormat="1" ht="24" x14ac:dyDescent="0.85">
      <c r="A222" s="281" t="s">
        <v>564</v>
      </c>
      <c r="B222" s="305">
        <v>2023</v>
      </c>
      <c r="C222" s="305">
        <v>2024</v>
      </c>
      <c r="D222" s="305">
        <v>2025</v>
      </c>
      <c r="E222" s="305">
        <v>2026</v>
      </c>
      <c r="F222" s="305">
        <v>2027</v>
      </c>
      <c r="G222" s="305">
        <v>2028</v>
      </c>
      <c r="H222" s="305">
        <v>2029</v>
      </c>
      <c r="I222" s="305">
        <v>2030</v>
      </c>
      <c r="J222" s="305">
        <v>2031</v>
      </c>
      <c r="K222" s="305">
        <v>2032</v>
      </c>
      <c r="L222" s="305">
        <v>2033</v>
      </c>
      <c r="M222" s="305">
        <v>2034</v>
      </c>
      <c r="N222" s="305">
        <v>2035</v>
      </c>
      <c r="O222" s="305">
        <v>2036</v>
      </c>
      <c r="P222" s="305">
        <v>2037</v>
      </c>
      <c r="Q222" s="305">
        <v>2038</v>
      </c>
      <c r="R222" s="305">
        <v>2039</v>
      </c>
      <c r="S222" s="305">
        <v>2040</v>
      </c>
      <c r="T222" s="305">
        <v>2041</v>
      </c>
      <c r="U222" s="305">
        <v>2042</v>
      </c>
      <c r="V222" s="305">
        <v>2043</v>
      </c>
      <c r="W222" s="305">
        <v>2044</v>
      </c>
      <c r="X222" s="305">
        <v>2045</v>
      </c>
      <c r="Y222" s="305">
        <v>2046</v>
      </c>
      <c r="Z222" s="305">
        <v>2047</v>
      </c>
      <c r="AA222" s="305">
        <v>2048</v>
      </c>
      <c r="AB222" s="305">
        <v>2049</v>
      </c>
      <c r="AC222" s="305">
        <v>2050</v>
      </c>
      <c r="AD222" s="302"/>
      <c r="AE222" s="302"/>
      <c r="AF222" s="302"/>
      <c r="AG222" s="302"/>
      <c r="AH222" s="302"/>
      <c r="AI222" s="302"/>
      <c r="AJ222" s="302"/>
      <c r="AK222" s="302"/>
      <c r="AL222" s="302"/>
      <c r="AM222" s="302"/>
      <c r="AN222" s="302"/>
      <c r="AO222" s="302"/>
      <c r="AP222" s="302"/>
      <c r="AQ222" s="302"/>
      <c r="AR222" s="302"/>
      <c r="AS222" s="61"/>
      <c r="AT222" s="61"/>
      <c r="AU222" s="61"/>
      <c r="AV222" s="61"/>
      <c r="AW222" s="61"/>
      <c r="AX222" s="61"/>
      <c r="AY222" s="61"/>
      <c r="AZ222" s="61"/>
      <c r="BA222" s="61"/>
      <c r="BB222" s="61"/>
      <c r="BC222" s="61"/>
      <c r="BD222" s="61"/>
      <c r="BE222" s="61"/>
      <c r="BF222" s="61"/>
      <c r="BG222" s="61"/>
      <c r="BH222" s="61"/>
      <c r="BI222" s="61"/>
      <c r="BJ222" s="61"/>
      <c r="BK222" s="61"/>
      <c r="BL222" s="61"/>
      <c r="BM222" s="61"/>
      <c r="BN222" s="61"/>
      <c r="BO222" s="61"/>
      <c r="BP222" s="61"/>
      <c r="BQ222" s="61"/>
      <c r="BR222" s="61"/>
      <c r="BS222" s="61"/>
      <c r="BT222" s="61"/>
      <c r="BU222" s="61"/>
      <c r="BV222" s="61"/>
      <c r="BW222" s="61"/>
      <c r="BX222" s="61"/>
      <c r="BY222" s="61"/>
      <c r="BZ222" s="61"/>
      <c r="CA222" s="61"/>
      <c r="CB222" s="61"/>
      <c r="CC222" s="61"/>
    </row>
    <row r="223" spans="1:81" s="13" customFormat="1" ht="24" x14ac:dyDescent="0.85">
      <c r="A223" s="306" t="s">
        <v>565</v>
      </c>
      <c r="B223" s="307">
        <v>0</v>
      </c>
      <c r="C223" s="308">
        <v>0</v>
      </c>
      <c r="D223" s="309">
        <v>0</v>
      </c>
      <c r="E223" s="309">
        <v>0</v>
      </c>
      <c r="F223" s="309">
        <v>0</v>
      </c>
      <c r="G223" s="309">
        <v>0</v>
      </c>
      <c r="H223" s="309">
        <v>0</v>
      </c>
      <c r="I223" s="309">
        <v>0</v>
      </c>
      <c r="J223" s="309">
        <v>0</v>
      </c>
      <c r="K223" s="309">
        <v>0</v>
      </c>
      <c r="L223" s="309">
        <v>0</v>
      </c>
      <c r="M223" s="309">
        <v>0</v>
      </c>
      <c r="N223" s="309">
        <v>0</v>
      </c>
      <c r="O223" s="309">
        <v>0</v>
      </c>
      <c r="P223" s="309">
        <v>0</v>
      </c>
      <c r="Q223" s="309">
        <v>0</v>
      </c>
      <c r="R223" s="309">
        <v>0</v>
      </c>
      <c r="S223" s="309">
        <v>0</v>
      </c>
      <c r="T223" s="309">
        <v>0</v>
      </c>
      <c r="U223" s="309">
        <v>0</v>
      </c>
      <c r="V223" s="309">
        <v>0</v>
      </c>
      <c r="W223" s="309">
        <v>0</v>
      </c>
      <c r="X223" s="309">
        <v>0</v>
      </c>
      <c r="Y223" s="309">
        <v>0</v>
      </c>
      <c r="Z223" s="309">
        <v>0</v>
      </c>
      <c r="AA223" s="309">
        <v>0</v>
      </c>
      <c r="AB223" s="309">
        <v>0</v>
      </c>
      <c r="AC223" s="309">
        <v>0</v>
      </c>
      <c r="AD223" s="302"/>
      <c r="AE223" s="302"/>
      <c r="AF223" s="302"/>
      <c r="AG223" s="302"/>
      <c r="AH223" s="302"/>
      <c r="AI223" s="302"/>
      <c r="AJ223" s="302"/>
      <c r="AK223" s="302"/>
      <c r="AL223" s="302"/>
      <c r="AM223" s="302"/>
      <c r="AN223" s="302"/>
      <c r="AO223" s="302"/>
      <c r="AP223" s="302"/>
      <c r="AQ223" s="302"/>
      <c r="AR223" s="302"/>
      <c r="AS223" s="61"/>
      <c r="AT223" s="61"/>
      <c r="AU223" s="61"/>
      <c r="AV223" s="61"/>
      <c r="AW223" s="61"/>
      <c r="AX223" s="61"/>
      <c r="AY223" s="61"/>
      <c r="AZ223" s="61"/>
      <c r="BA223" s="61"/>
      <c r="BB223" s="61"/>
      <c r="BC223" s="61"/>
      <c r="BD223" s="61"/>
      <c r="BE223" s="61"/>
      <c r="BF223" s="61"/>
      <c r="BG223" s="61"/>
      <c r="BH223" s="61"/>
      <c r="BI223" s="61"/>
      <c r="BJ223" s="61"/>
      <c r="BK223" s="61"/>
      <c r="BL223" s="61"/>
      <c r="BM223" s="61"/>
      <c r="BN223" s="61"/>
      <c r="BO223" s="61"/>
      <c r="BP223" s="61"/>
      <c r="BQ223" s="61"/>
      <c r="BR223" s="61"/>
      <c r="BS223" s="61"/>
      <c r="BT223" s="61"/>
      <c r="BU223" s="61"/>
      <c r="BV223" s="61"/>
      <c r="BW223" s="61"/>
      <c r="BX223" s="61"/>
      <c r="BY223" s="61"/>
      <c r="BZ223" s="61"/>
      <c r="CA223" s="61"/>
      <c r="CB223" s="61"/>
      <c r="CC223" s="61"/>
    </row>
    <row r="224" spans="1:81" s="13" customFormat="1" ht="24" x14ac:dyDescent="0.85">
      <c r="A224" s="306" t="s">
        <v>566</v>
      </c>
      <c r="B224" s="310">
        <f>1-(B223+B225)</f>
        <v>1</v>
      </c>
      <c r="C224" s="310">
        <f>1-(C223+C225)</f>
        <v>1</v>
      </c>
      <c r="D224" s="310">
        <f>1-(D223+D225)</f>
        <v>0.9285714285714286</v>
      </c>
      <c r="E224" s="310">
        <f t="shared" ref="E224:AC224" si="306">1-(E223+E225)</f>
        <v>0.85714285714285721</v>
      </c>
      <c r="F224" s="310">
        <f t="shared" si="306"/>
        <v>0.7857142857142857</v>
      </c>
      <c r="G224" s="310">
        <f t="shared" si="306"/>
        <v>0.7142857142857143</v>
      </c>
      <c r="H224" s="310">
        <f t="shared" si="306"/>
        <v>0.6428571428571429</v>
      </c>
      <c r="I224" s="310">
        <f t="shared" si="306"/>
        <v>0.57142857142857151</v>
      </c>
      <c r="J224" s="310">
        <f t="shared" si="306"/>
        <v>0.50000000000000011</v>
      </c>
      <c r="K224" s="310">
        <f t="shared" si="306"/>
        <v>0.42857142857142871</v>
      </c>
      <c r="L224" s="310">
        <f t="shared" si="306"/>
        <v>0.35714285714285732</v>
      </c>
      <c r="M224" s="310">
        <f t="shared" si="306"/>
        <v>0.28571428571428592</v>
      </c>
      <c r="N224" s="310">
        <f t="shared" si="306"/>
        <v>0.21428571428571452</v>
      </c>
      <c r="O224" s="310">
        <f t="shared" si="306"/>
        <v>0.14285714285714313</v>
      </c>
      <c r="P224" s="310">
        <f t="shared" si="306"/>
        <v>7.142857142857173E-2</v>
      </c>
      <c r="Q224" s="310">
        <f t="shared" si="306"/>
        <v>0</v>
      </c>
      <c r="R224" s="310">
        <f t="shared" si="306"/>
        <v>0</v>
      </c>
      <c r="S224" s="310">
        <f t="shared" si="306"/>
        <v>0</v>
      </c>
      <c r="T224" s="310">
        <f t="shared" si="306"/>
        <v>0</v>
      </c>
      <c r="U224" s="310">
        <f t="shared" si="306"/>
        <v>0</v>
      </c>
      <c r="V224" s="310">
        <f t="shared" si="306"/>
        <v>0</v>
      </c>
      <c r="W224" s="310">
        <f t="shared" si="306"/>
        <v>0</v>
      </c>
      <c r="X224" s="310">
        <f t="shared" si="306"/>
        <v>0</v>
      </c>
      <c r="Y224" s="310">
        <f t="shared" si="306"/>
        <v>0</v>
      </c>
      <c r="Z224" s="310">
        <f t="shared" si="306"/>
        <v>0</v>
      </c>
      <c r="AA224" s="310">
        <f t="shared" si="306"/>
        <v>0</v>
      </c>
      <c r="AB224" s="310">
        <f t="shared" si="306"/>
        <v>0</v>
      </c>
      <c r="AC224" s="310">
        <f t="shared" si="306"/>
        <v>0</v>
      </c>
      <c r="AD224" s="302"/>
      <c r="AE224" s="302"/>
      <c r="AF224" s="302"/>
      <c r="AG224" s="302"/>
      <c r="AH224" s="302"/>
      <c r="AI224" s="302"/>
      <c r="AJ224" s="302"/>
      <c r="AK224" s="302"/>
      <c r="AL224" s="302"/>
      <c r="AM224" s="302"/>
      <c r="AN224" s="302"/>
      <c r="AO224" s="302"/>
      <c r="AP224" s="302"/>
      <c r="AQ224" s="302"/>
      <c r="AR224" s="302"/>
      <c r="AS224" s="61"/>
      <c r="AT224" s="61"/>
      <c r="AU224" s="61"/>
      <c r="AV224" s="61"/>
      <c r="AW224" s="61"/>
      <c r="AX224" s="61"/>
      <c r="AY224" s="61"/>
      <c r="AZ224" s="61"/>
      <c r="BA224" s="61"/>
      <c r="BB224" s="61"/>
      <c r="BC224" s="61"/>
      <c r="BD224" s="61"/>
      <c r="BE224" s="61"/>
      <c r="BF224" s="61"/>
      <c r="BG224" s="61"/>
      <c r="BH224" s="61"/>
      <c r="BI224" s="61"/>
      <c r="BJ224" s="61"/>
      <c r="BK224" s="61"/>
      <c r="BL224" s="61"/>
      <c r="BM224" s="61"/>
      <c r="BN224" s="61"/>
      <c r="BO224" s="61"/>
      <c r="BP224" s="61"/>
      <c r="BQ224" s="61"/>
      <c r="BR224" s="61"/>
      <c r="BS224" s="61"/>
      <c r="BT224" s="61"/>
      <c r="BU224" s="61"/>
      <c r="BV224" s="61"/>
      <c r="BW224" s="61"/>
      <c r="BX224" s="61"/>
      <c r="BY224" s="61"/>
      <c r="BZ224" s="61"/>
      <c r="CA224" s="61"/>
      <c r="CB224" s="61"/>
      <c r="CC224" s="61"/>
    </row>
    <row r="225" spans="1:81" s="13" customFormat="1" ht="24" x14ac:dyDescent="0.85">
      <c r="A225" s="306" t="s">
        <v>567</v>
      </c>
      <c r="B225" s="310">
        <v>0</v>
      </c>
      <c r="C225" s="309">
        <v>0</v>
      </c>
      <c r="D225" s="309">
        <f>(1/'Baseline Building Energy'!$B$199)</f>
        <v>7.1428571428571425E-2</v>
      </c>
      <c r="E225" s="309">
        <f>IF((D225+(1/'Baseline Building Energy'!$B$199))&gt;1,1,(D225+(1/'Baseline Building Energy'!$B$199)))</f>
        <v>0.14285714285714285</v>
      </c>
      <c r="F225" s="309">
        <f>IF((E225+(1/'Baseline Building Energy'!$B$199))&gt;1,1,(E225+(1/'Baseline Building Energy'!$B$199)))</f>
        <v>0.21428571428571427</v>
      </c>
      <c r="G225" s="309">
        <f>IF((F225+(1/'Baseline Building Energy'!$B$199))&gt;1,1,(F225+(1/'Baseline Building Energy'!$B$199)))</f>
        <v>0.2857142857142857</v>
      </c>
      <c r="H225" s="309">
        <f>IF((G225+(1/'Baseline Building Energy'!$B$199))&gt;1,1,(G225+(1/'Baseline Building Energy'!$B$199)))</f>
        <v>0.3571428571428571</v>
      </c>
      <c r="I225" s="309">
        <f>IF((H225+(1/'Baseline Building Energy'!$B$199))&gt;1,1,(H225+(1/'Baseline Building Energy'!$B$199)))</f>
        <v>0.42857142857142849</v>
      </c>
      <c r="J225" s="309">
        <f>IF((I225+(1/'Baseline Building Energy'!$B$199))&gt;1,1,(I225+(1/'Baseline Building Energy'!$B$199)))</f>
        <v>0.49999999999999989</v>
      </c>
      <c r="K225" s="309">
        <f>IF((J225+(1/'Baseline Building Energy'!$B$199))&gt;1,1,(J225+(1/'Baseline Building Energy'!$B$199)))</f>
        <v>0.57142857142857129</v>
      </c>
      <c r="L225" s="309">
        <f>IF((K225+(1/'Baseline Building Energy'!$B$199))&gt;1,1,(K225+(1/'Baseline Building Energy'!$B$199)))</f>
        <v>0.64285714285714268</v>
      </c>
      <c r="M225" s="309">
        <f>IF((L225+(1/'Baseline Building Energy'!$B$199))&gt;1,1,(L225+(1/'Baseline Building Energy'!$B$199)))</f>
        <v>0.71428571428571408</v>
      </c>
      <c r="N225" s="309">
        <f>IF((M225+(1/'Baseline Building Energy'!$B$199))&gt;1,1,(M225+(1/'Baseline Building Energy'!$B$199)))</f>
        <v>0.78571428571428548</v>
      </c>
      <c r="O225" s="309">
        <f>IF((N225+(1/'Baseline Building Energy'!$B$199))&gt;1,1,(N225+(1/'Baseline Building Energy'!$B$199)))</f>
        <v>0.85714285714285687</v>
      </c>
      <c r="P225" s="309">
        <f>IF((O225+(1/'Baseline Building Energy'!$B$199))&gt;1,1,(O225+(1/'Baseline Building Energy'!$B$199)))</f>
        <v>0.92857142857142827</v>
      </c>
      <c r="Q225" s="309">
        <f>IF((P225+(1/'Baseline Building Energy'!$B$199))&gt;1,1,(P225+(1/'Baseline Building Energy'!$B$199)))</f>
        <v>0.99999999999999967</v>
      </c>
      <c r="R225" s="309">
        <f>IF((Q225+(1/'Baseline Building Energy'!$B$199))&gt;1,1,(Q225+(1/'Baseline Building Energy'!$B$199)))</f>
        <v>1</v>
      </c>
      <c r="S225" s="309">
        <f>IF((R225+(1/'Baseline Building Energy'!$B$199))&gt;1,1,(R225+(1/'Baseline Building Energy'!$B$199)))</f>
        <v>1</v>
      </c>
      <c r="T225" s="309">
        <f>IF((S225+(1/'Baseline Building Energy'!$B$199))&gt;1,1,(S225+(1/'Baseline Building Energy'!$B$199)))</f>
        <v>1</v>
      </c>
      <c r="U225" s="309">
        <f>IF((T225+(1/'Baseline Building Energy'!$B$199))&gt;1,1,(T225+(1/'Baseline Building Energy'!$B$199)))</f>
        <v>1</v>
      </c>
      <c r="V225" s="309">
        <f>IF((U225+(1/'Baseline Building Energy'!$B$199))&gt;1,1,(U225+(1/'Baseline Building Energy'!$B$199)))</f>
        <v>1</v>
      </c>
      <c r="W225" s="309">
        <f>IF((V225+(1/'Baseline Building Energy'!$B$199))&gt;1,1,(V225+(1/'Baseline Building Energy'!$B$199)))</f>
        <v>1</v>
      </c>
      <c r="X225" s="309">
        <f>IF((W225+(1/'Baseline Building Energy'!$B$199))&gt;1,1,(W225+(1/'Baseline Building Energy'!$B$199)))</f>
        <v>1</v>
      </c>
      <c r="Y225" s="309">
        <f>IF((X225+(1/'Baseline Building Energy'!$B$199))&gt;1,1,(X225+(1/'Baseline Building Energy'!$B$199)))</f>
        <v>1</v>
      </c>
      <c r="Z225" s="309">
        <f>IF((Y225+(1/'Baseline Building Energy'!$B$199))&gt;1,1,(Y225+(1/'Baseline Building Energy'!$B$199)))</f>
        <v>1</v>
      </c>
      <c r="AA225" s="309">
        <f>IF((Z225+(1/'Baseline Building Energy'!$B$199))&gt;1,1,(Z225+(1/'Baseline Building Energy'!$B$199)))</f>
        <v>1</v>
      </c>
      <c r="AB225" s="309">
        <f>IF((AA225+(1/'Baseline Building Energy'!$B$199))&gt;1,1,(AA225+(1/'Baseline Building Energy'!$B$199)))</f>
        <v>1</v>
      </c>
      <c r="AC225" s="309">
        <f>IF((AB225+(1/'Baseline Building Energy'!$B$199))&gt;1,1,(AB225+(1/'Baseline Building Energy'!$B$199)))</f>
        <v>1</v>
      </c>
      <c r="AD225" s="302"/>
      <c r="AE225" s="302"/>
      <c r="AF225" s="302"/>
      <c r="AG225" s="302"/>
      <c r="AH225" s="302"/>
      <c r="AI225" s="302"/>
      <c r="AJ225" s="302"/>
      <c r="AK225" s="302"/>
      <c r="AL225" s="302"/>
      <c r="AM225" s="302"/>
      <c r="AN225" s="302"/>
      <c r="AO225" s="302"/>
      <c r="AP225" s="302"/>
      <c r="AQ225" s="302"/>
      <c r="AR225" s="302"/>
      <c r="AS225" s="61"/>
      <c r="AT225" s="61"/>
      <c r="AU225" s="61"/>
      <c r="AV225" s="61"/>
      <c r="AW225" s="61"/>
      <c r="AX225" s="61"/>
      <c r="AY225" s="61"/>
      <c r="AZ225" s="61"/>
      <c r="BA225" s="61"/>
      <c r="BB225" s="61"/>
      <c r="BC225" s="61"/>
      <c r="BD225" s="61"/>
      <c r="BE225" s="61"/>
      <c r="BF225" s="61"/>
      <c r="BG225" s="61"/>
      <c r="BH225" s="61"/>
      <c r="BI225" s="61"/>
      <c r="BJ225" s="61"/>
      <c r="BK225" s="61"/>
      <c r="BL225" s="61"/>
      <c r="BM225" s="61"/>
      <c r="BN225" s="61"/>
      <c r="BO225" s="61"/>
      <c r="BP225" s="61"/>
      <c r="BQ225" s="61"/>
      <c r="BR225" s="61"/>
      <c r="BS225" s="61"/>
      <c r="BT225" s="61"/>
      <c r="BU225" s="61"/>
      <c r="BV225" s="61"/>
      <c r="BW225" s="61"/>
      <c r="BX225" s="61"/>
      <c r="BY225" s="61"/>
      <c r="BZ225" s="61"/>
      <c r="CA225" s="61"/>
      <c r="CB225" s="61"/>
      <c r="CC225" s="61"/>
    </row>
    <row r="226" spans="1:81" s="304" customFormat="1" ht="24" x14ac:dyDescent="0.85">
      <c r="A226" s="71" t="s">
        <v>626</v>
      </c>
      <c r="B226" s="279"/>
      <c r="C226" s="279"/>
      <c r="D226" s="279"/>
      <c r="E226" s="279"/>
      <c r="F226" s="279"/>
      <c r="G226" s="279"/>
      <c r="H226" s="279"/>
      <c r="I226" s="279"/>
      <c r="J226" s="279"/>
      <c r="K226" s="279"/>
      <c r="L226" s="279"/>
      <c r="M226" s="279"/>
      <c r="N226" s="279"/>
      <c r="O226" s="279"/>
      <c r="P226" s="279"/>
      <c r="Q226" s="279"/>
      <c r="R226" s="279"/>
      <c r="S226" s="279"/>
      <c r="T226" s="279"/>
      <c r="U226" s="279"/>
      <c r="V226" s="279"/>
      <c r="W226" s="279"/>
      <c r="X226" s="279"/>
      <c r="Y226" s="279"/>
      <c r="Z226" s="279"/>
      <c r="AA226" s="279"/>
      <c r="AB226" s="279"/>
      <c r="AC226" s="280"/>
      <c r="AD226" s="303"/>
      <c r="AE226" s="303"/>
      <c r="AF226" s="303"/>
      <c r="AG226" s="303"/>
      <c r="AH226" s="303"/>
      <c r="AI226" s="303"/>
      <c r="AJ226" s="303"/>
      <c r="AK226" s="303"/>
      <c r="AL226" s="303"/>
      <c r="AM226" s="303"/>
      <c r="AN226" s="303"/>
      <c r="AO226" s="303"/>
      <c r="AP226" s="303"/>
      <c r="AQ226" s="303"/>
      <c r="AR226" s="303"/>
      <c r="AS226" s="303"/>
      <c r="AT226" s="303"/>
      <c r="AU226" s="303"/>
      <c r="AV226" s="303"/>
      <c r="AW226" s="303"/>
      <c r="AX226" s="303"/>
      <c r="AY226" s="303"/>
      <c r="AZ226" s="303"/>
      <c r="BA226" s="303"/>
      <c r="BB226" s="303"/>
      <c r="BC226" s="303"/>
      <c r="BD226" s="303"/>
      <c r="BE226" s="303"/>
      <c r="BF226" s="303"/>
      <c r="BG226" s="303"/>
      <c r="BH226" s="303"/>
      <c r="BI226" s="303"/>
      <c r="BJ226" s="303"/>
      <c r="BK226" s="303"/>
    </row>
    <row r="227" spans="1:81" s="13" customFormat="1" ht="24" x14ac:dyDescent="0.85">
      <c r="A227" s="281" t="s">
        <v>564</v>
      </c>
      <c r="B227" s="305">
        <v>2023</v>
      </c>
      <c r="C227" s="305">
        <v>2024</v>
      </c>
      <c r="D227" s="305">
        <v>2025</v>
      </c>
      <c r="E227" s="305">
        <v>2026</v>
      </c>
      <c r="F227" s="305">
        <v>2027</v>
      </c>
      <c r="G227" s="305">
        <v>2028</v>
      </c>
      <c r="H227" s="305">
        <v>2029</v>
      </c>
      <c r="I227" s="305">
        <v>2030</v>
      </c>
      <c r="J227" s="305">
        <v>2031</v>
      </c>
      <c r="K227" s="305">
        <v>2032</v>
      </c>
      <c r="L227" s="305">
        <v>2033</v>
      </c>
      <c r="M227" s="305">
        <v>2034</v>
      </c>
      <c r="N227" s="305">
        <v>2035</v>
      </c>
      <c r="O227" s="305">
        <v>2036</v>
      </c>
      <c r="P227" s="305">
        <v>2037</v>
      </c>
      <c r="Q227" s="305">
        <v>2038</v>
      </c>
      <c r="R227" s="305">
        <v>2039</v>
      </c>
      <c r="S227" s="305">
        <v>2040</v>
      </c>
      <c r="T227" s="305">
        <v>2041</v>
      </c>
      <c r="U227" s="305">
        <v>2042</v>
      </c>
      <c r="V227" s="305">
        <v>2043</v>
      </c>
      <c r="W227" s="305">
        <v>2044</v>
      </c>
      <c r="X227" s="305">
        <v>2045</v>
      </c>
      <c r="Y227" s="305">
        <v>2046</v>
      </c>
      <c r="Z227" s="305">
        <v>2047</v>
      </c>
      <c r="AA227" s="305">
        <v>2048</v>
      </c>
      <c r="AB227" s="305">
        <v>2049</v>
      </c>
      <c r="AC227" s="305">
        <v>2050</v>
      </c>
      <c r="AD227" s="302"/>
      <c r="AE227" s="302"/>
      <c r="AF227" s="302"/>
      <c r="AG227" s="302"/>
      <c r="AH227" s="302"/>
      <c r="AI227" s="302"/>
      <c r="AJ227" s="302"/>
      <c r="AK227" s="302"/>
      <c r="AL227" s="302"/>
      <c r="AM227" s="302"/>
      <c r="AN227" s="302"/>
      <c r="AO227" s="302"/>
      <c r="AP227" s="302"/>
      <c r="AQ227" s="302"/>
      <c r="AR227" s="302"/>
      <c r="AS227" s="61"/>
      <c r="AT227" s="61"/>
      <c r="AU227" s="61"/>
      <c r="AV227" s="61"/>
      <c r="AW227" s="61"/>
      <c r="AX227" s="61"/>
      <c r="AY227" s="61"/>
      <c r="AZ227" s="61"/>
      <c r="BA227" s="61"/>
      <c r="BB227" s="61"/>
      <c r="BC227" s="61"/>
      <c r="BD227" s="61"/>
      <c r="BE227" s="61"/>
      <c r="BF227" s="61"/>
      <c r="BG227" s="61"/>
      <c r="BH227" s="61"/>
      <c r="BI227" s="61"/>
      <c r="BJ227" s="61"/>
      <c r="BK227" s="61"/>
      <c r="BL227" s="61"/>
      <c r="BM227" s="61"/>
      <c r="BN227" s="61"/>
      <c r="BO227" s="61"/>
      <c r="BP227" s="61"/>
      <c r="BQ227" s="61"/>
      <c r="BR227" s="61"/>
      <c r="BS227" s="61"/>
      <c r="BT227" s="61"/>
      <c r="BU227" s="61"/>
      <c r="BV227" s="61"/>
      <c r="BW227" s="61"/>
      <c r="BX227" s="61"/>
      <c r="BY227" s="61"/>
      <c r="BZ227" s="61"/>
      <c r="CA227" s="61"/>
      <c r="CB227" s="61"/>
      <c r="CC227" s="61"/>
    </row>
    <row r="228" spans="1:81" s="13" customFormat="1" ht="24" x14ac:dyDescent="0.85">
      <c r="A228" s="306" t="s">
        <v>565</v>
      </c>
      <c r="B228" s="310">
        <f>B237*2</f>
        <v>0</v>
      </c>
      <c r="C228" s="309">
        <f>B237*1</f>
        <v>0</v>
      </c>
      <c r="D228" s="309">
        <v>0</v>
      </c>
      <c r="E228" s="309">
        <v>0</v>
      </c>
      <c r="F228" s="309">
        <v>0</v>
      </c>
      <c r="G228" s="309">
        <v>0</v>
      </c>
      <c r="H228" s="309">
        <v>0</v>
      </c>
      <c r="I228" s="309">
        <v>0</v>
      </c>
      <c r="J228" s="309">
        <v>0</v>
      </c>
      <c r="K228" s="309">
        <v>0</v>
      </c>
      <c r="L228" s="309">
        <v>0</v>
      </c>
      <c r="M228" s="309">
        <v>0</v>
      </c>
      <c r="N228" s="309">
        <v>0</v>
      </c>
      <c r="O228" s="309">
        <v>0</v>
      </c>
      <c r="P228" s="309">
        <v>0</v>
      </c>
      <c r="Q228" s="309">
        <v>0</v>
      </c>
      <c r="R228" s="309">
        <v>0</v>
      </c>
      <c r="S228" s="309">
        <v>0</v>
      </c>
      <c r="T228" s="309">
        <v>0</v>
      </c>
      <c r="U228" s="309">
        <v>0</v>
      </c>
      <c r="V228" s="309">
        <v>0</v>
      </c>
      <c r="W228" s="309">
        <v>0</v>
      </c>
      <c r="X228" s="309">
        <v>0</v>
      </c>
      <c r="Y228" s="309">
        <v>0</v>
      </c>
      <c r="Z228" s="309">
        <v>0</v>
      </c>
      <c r="AA228" s="309">
        <v>0</v>
      </c>
      <c r="AB228" s="309">
        <v>0</v>
      </c>
      <c r="AC228" s="309">
        <v>0</v>
      </c>
      <c r="AD228" s="302"/>
      <c r="AE228" s="302"/>
      <c r="AF228" s="302"/>
      <c r="AG228" s="302"/>
      <c r="AH228" s="302"/>
      <c r="AI228" s="302"/>
      <c r="AJ228" s="302"/>
      <c r="AK228" s="302"/>
      <c r="AL228" s="302"/>
      <c r="AM228" s="302"/>
      <c r="AN228" s="302"/>
      <c r="AO228" s="302"/>
      <c r="AP228" s="302"/>
      <c r="AQ228" s="302"/>
      <c r="AR228" s="302"/>
      <c r="AS228" s="61"/>
      <c r="AT228" s="61"/>
      <c r="AU228" s="61"/>
      <c r="AV228" s="61"/>
      <c r="AW228" s="61"/>
      <c r="AX228" s="61"/>
      <c r="AY228" s="61"/>
      <c r="AZ228" s="61"/>
      <c r="BA228" s="61"/>
      <c r="BB228" s="61"/>
      <c r="BC228" s="61"/>
      <c r="BD228" s="61"/>
      <c r="BE228" s="61"/>
      <c r="BF228" s="61"/>
      <c r="BG228" s="61"/>
      <c r="BH228" s="61"/>
      <c r="BI228" s="61"/>
      <c r="BJ228" s="61"/>
      <c r="BK228" s="61"/>
      <c r="BL228" s="61"/>
      <c r="BM228" s="61"/>
      <c r="BN228" s="61"/>
      <c r="BO228" s="61"/>
      <c r="BP228" s="61"/>
      <c r="BQ228" s="61"/>
      <c r="BR228" s="61"/>
      <c r="BS228" s="61"/>
      <c r="BT228" s="61"/>
      <c r="BU228" s="61"/>
      <c r="BV228" s="61"/>
      <c r="BW228" s="61"/>
      <c r="BX228" s="61"/>
      <c r="BY228" s="61"/>
      <c r="BZ228" s="61"/>
      <c r="CA228" s="61"/>
      <c r="CB228" s="61"/>
      <c r="CC228" s="61"/>
    </row>
    <row r="229" spans="1:81" s="13" customFormat="1" ht="24" x14ac:dyDescent="0.85">
      <c r="A229" s="306" t="s">
        <v>566</v>
      </c>
      <c r="B229" s="310">
        <f>1-(B228+B230)</f>
        <v>1</v>
      </c>
      <c r="C229" s="310">
        <f t="shared" ref="C229:N229" si="307">1-(C228+C230)</f>
        <v>1</v>
      </c>
      <c r="D229" s="310">
        <f t="shared" si="307"/>
        <v>0</v>
      </c>
      <c r="E229" s="310">
        <f t="shared" si="307"/>
        <v>0</v>
      </c>
      <c r="F229" s="310">
        <f t="shared" si="307"/>
        <v>0</v>
      </c>
      <c r="G229" s="310">
        <f t="shared" si="307"/>
        <v>0</v>
      </c>
      <c r="H229" s="310">
        <f t="shared" si="307"/>
        <v>0</v>
      </c>
      <c r="I229" s="310">
        <f t="shared" si="307"/>
        <v>0</v>
      </c>
      <c r="J229" s="310">
        <f t="shared" si="307"/>
        <v>0</v>
      </c>
      <c r="K229" s="310">
        <f t="shared" si="307"/>
        <v>0</v>
      </c>
      <c r="L229" s="310">
        <f t="shared" si="307"/>
        <v>0</v>
      </c>
      <c r="M229" s="310">
        <f t="shared" si="307"/>
        <v>0</v>
      </c>
      <c r="N229" s="310">
        <f t="shared" si="307"/>
        <v>0</v>
      </c>
      <c r="O229" s="310">
        <f t="shared" ref="O229:AC229" si="308">1-(O228+O230)</f>
        <v>0</v>
      </c>
      <c r="P229" s="310">
        <f t="shared" si="308"/>
        <v>0</v>
      </c>
      <c r="Q229" s="310">
        <f t="shared" si="308"/>
        <v>0</v>
      </c>
      <c r="R229" s="310">
        <f t="shared" si="308"/>
        <v>0</v>
      </c>
      <c r="S229" s="310">
        <f t="shared" si="308"/>
        <v>0</v>
      </c>
      <c r="T229" s="310">
        <f t="shared" si="308"/>
        <v>0</v>
      </c>
      <c r="U229" s="310">
        <f t="shared" si="308"/>
        <v>0</v>
      </c>
      <c r="V229" s="310">
        <f t="shared" si="308"/>
        <v>0</v>
      </c>
      <c r="W229" s="310">
        <f t="shared" si="308"/>
        <v>0</v>
      </c>
      <c r="X229" s="310">
        <f t="shared" si="308"/>
        <v>0</v>
      </c>
      <c r="Y229" s="310">
        <f t="shared" si="308"/>
        <v>0</v>
      </c>
      <c r="Z229" s="310">
        <f t="shared" si="308"/>
        <v>0</v>
      </c>
      <c r="AA229" s="310">
        <f t="shared" si="308"/>
        <v>0</v>
      </c>
      <c r="AB229" s="310">
        <f t="shared" si="308"/>
        <v>0</v>
      </c>
      <c r="AC229" s="310">
        <f t="shared" si="308"/>
        <v>0</v>
      </c>
      <c r="AD229" s="302"/>
      <c r="AE229" s="302"/>
      <c r="AF229" s="302"/>
      <c r="AG229" s="302"/>
      <c r="AH229" s="302"/>
      <c r="AI229" s="302"/>
      <c r="AJ229" s="302"/>
      <c r="AK229" s="302"/>
      <c r="AL229" s="302"/>
      <c r="AM229" s="302"/>
      <c r="AN229" s="302"/>
      <c r="AO229" s="302"/>
      <c r="AP229" s="302"/>
      <c r="AQ229" s="302"/>
      <c r="AR229" s="302"/>
      <c r="AS229" s="61"/>
      <c r="AT229" s="61"/>
      <c r="AU229" s="61"/>
      <c r="AV229" s="61"/>
      <c r="AW229" s="61"/>
      <c r="AX229" s="61"/>
      <c r="AY229" s="61"/>
      <c r="AZ229" s="61"/>
      <c r="BA229" s="61"/>
      <c r="BB229" s="61"/>
      <c r="BC229" s="61"/>
      <c r="BD229" s="61"/>
      <c r="BE229" s="61"/>
      <c r="BF229" s="61"/>
      <c r="BG229" s="61"/>
      <c r="BH229" s="61"/>
      <c r="BI229" s="61"/>
      <c r="BJ229" s="61"/>
      <c r="BK229" s="61"/>
      <c r="BL229" s="61"/>
      <c r="BM229" s="61"/>
      <c r="BN229" s="61"/>
      <c r="BO229" s="61"/>
      <c r="BP229" s="61"/>
      <c r="BQ229" s="61"/>
      <c r="BR229" s="61"/>
      <c r="BS229" s="61"/>
      <c r="BT229" s="61"/>
      <c r="BU229" s="61"/>
      <c r="BV229" s="61"/>
      <c r="BW229" s="61"/>
      <c r="BX229" s="61"/>
      <c r="BY229" s="61"/>
      <c r="BZ229" s="61"/>
      <c r="CA229" s="61"/>
      <c r="CB229" s="61"/>
      <c r="CC229" s="61"/>
    </row>
    <row r="230" spans="1:81" s="13" customFormat="1" ht="24" x14ac:dyDescent="0.85">
      <c r="A230" s="306" t="s">
        <v>567</v>
      </c>
      <c r="B230" s="310">
        <v>0</v>
      </c>
      <c r="C230" s="309">
        <v>0</v>
      </c>
      <c r="D230" s="309">
        <v>1</v>
      </c>
      <c r="E230" s="309">
        <v>1</v>
      </c>
      <c r="F230" s="309">
        <v>1</v>
      </c>
      <c r="G230" s="309">
        <v>1</v>
      </c>
      <c r="H230" s="309">
        <v>1</v>
      </c>
      <c r="I230" s="309">
        <v>1</v>
      </c>
      <c r="J230" s="309">
        <v>1</v>
      </c>
      <c r="K230" s="309">
        <v>1</v>
      </c>
      <c r="L230" s="309">
        <v>1</v>
      </c>
      <c r="M230" s="309">
        <v>1</v>
      </c>
      <c r="N230" s="309">
        <v>1</v>
      </c>
      <c r="O230" s="309">
        <v>1</v>
      </c>
      <c r="P230" s="309">
        <v>1</v>
      </c>
      <c r="Q230" s="309">
        <v>1</v>
      </c>
      <c r="R230" s="309">
        <v>1</v>
      </c>
      <c r="S230" s="309">
        <v>1</v>
      </c>
      <c r="T230" s="309">
        <v>1</v>
      </c>
      <c r="U230" s="309">
        <v>1</v>
      </c>
      <c r="V230" s="309">
        <v>1</v>
      </c>
      <c r="W230" s="309">
        <v>1</v>
      </c>
      <c r="X230" s="309">
        <v>1</v>
      </c>
      <c r="Y230" s="309">
        <v>1</v>
      </c>
      <c r="Z230" s="309">
        <v>1</v>
      </c>
      <c r="AA230" s="309">
        <v>1</v>
      </c>
      <c r="AB230" s="309">
        <v>1</v>
      </c>
      <c r="AC230" s="309">
        <v>1</v>
      </c>
      <c r="AD230" s="302"/>
      <c r="AE230" s="302"/>
      <c r="AF230" s="302"/>
      <c r="AG230" s="302"/>
      <c r="AH230" s="302"/>
      <c r="AI230" s="302"/>
      <c r="AJ230" s="302"/>
      <c r="AK230" s="302"/>
      <c r="AL230" s="302"/>
      <c r="AM230" s="302"/>
      <c r="AN230" s="302"/>
      <c r="AO230" s="302"/>
      <c r="AP230" s="302"/>
      <c r="AQ230" s="302"/>
      <c r="AR230" s="302"/>
      <c r="AS230" s="61"/>
      <c r="AT230" s="61"/>
      <c r="AU230" s="61"/>
      <c r="AV230" s="61"/>
      <c r="AW230" s="61"/>
      <c r="AX230" s="61"/>
      <c r="AY230" s="61"/>
      <c r="AZ230" s="61"/>
      <c r="BA230" s="61"/>
      <c r="BB230" s="61"/>
      <c r="BC230" s="61"/>
      <c r="BD230" s="61"/>
      <c r="BE230" s="61"/>
      <c r="BF230" s="61"/>
      <c r="BG230" s="61"/>
      <c r="BH230" s="61"/>
      <c r="BI230" s="61"/>
      <c r="BJ230" s="61"/>
      <c r="BK230" s="61"/>
      <c r="BL230" s="61"/>
      <c r="BM230" s="61"/>
      <c r="BN230" s="61"/>
      <c r="BO230" s="61"/>
      <c r="BP230" s="61"/>
      <c r="BQ230" s="61"/>
      <c r="BR230" s="61"/>
      <c r="BS230" s="61"/>
      <c r="BT230" s="61"/>
      <c r="BU230" s="61"/>
      <c r="BV230" s="61"/>
      <c r="BW230" s="61"/>
      <c r="BX230" s="61"/>
      <c r="BY230" s="61"/>
      <c r="BZ230" s="61"/>
      <c r="CA230" s="61"/>
      <c r="CB230" s="61"/>
      <c r="CC230" s="61"/>
    </row>
    <row r="232" spans="1:81" ht="24" x14ac:dyDescent="0.85">
      <c r="A232" s="71" t="s">
        <v>628</v>
      </c>
      <c r="B232" s="279"/>
      <c r="C232" s="279"/>
      <c r="D232" s="279"/>
      <c r="E232" s="279"/>
      <c r="F232" s="279"/>
      <c r="G232" s="279"/>
      <c r="H232" s="279"/>
      <c r="I232" s="279"/>
      <c r="J232" s="279"/>
      <c r="K232" s="279"/>
      <c r="L232" s="279"/>
      <c r="M232" s="279"/>
      <c r="N232" s="279"/>
      <c r="O232" s="279"/>
      <c r="P232" s="279"/>
      <c r="Q232" s="279"/>
      <c r="R232" s="279"/>
      <c r="S232" s="279"/>
      <c r="T232" s="279"/>
      <c r="U232" s="279"/>
      <c r="V232" s="279"/>
      <c r="W232" s="279"/>
      <c r="X232" s="279"/>
      <c r="Y232" s="279"/>
      <c r="Z232" s="279"/>
      <c r="AA232" s="279"/>
      <c r="AB232" s="279"/>
      <c r="AC232" s="280"/>
    </row>
    <row r="233" spans="1:81" ht="24" x14ac:dyDescent="0.7">
      <c r="A233" s="281" t="s">
        <v>564</v>
      </c>
      <c r="B233" s="305">
        <v>2023</v>
      </c>
      <c r="C233" s="305">
        <v>2024</v>
      </c>
      <c r="D233" s="305">
        <v>2025</v>
      </c>
      <c r="E233" s="305">
        <v>2026</v>
      </c>
      <c r="F233" s="305">
        <v>2027</v>
      </c>
      <c r="G233" s="305">
        <v>2028</v>
      </c>
      <c r="H233" s="305">
        <v>2029</v>
      </c>
      <c r="I233" s="305">
        <v>2030</v>
      </c>
      <c r="J233" s="305">
        <v>2031</v>
      </c>
      <c r="K233" s="305">
        <v>2032</v>
      </c>
      <c r="L233" s="305">
        <v>2033</v>
      </c>
      <c r="M233" s="305">
        <v>2034</v>
      </c>
      <c r="N233" s="305">
        <v>2035</v>
      </c>
      <c r="O233" s="305">
        <v>2036</v>
      </c>
      <c r="P233" s="305">
        <v>2037</v>
      </c>
      <c r="Q233" s="305">
        <v>2038</v>
      </c>
      <c r="R233" s="305">
        <v>2039</v>
      </c>
      <c r="S233" s="305">
        <v>2040</v>
      </c>
      <c r="T233" s="305">
        <v>2041</v>
      </c>
      <c r="U233" s="305">
        <v>2042</v>
      </c>
      <c r="V233" s="305">
        <v>2043</v>
      </c>
      <c r="W233" s="305">
        <v>2044</v>
      </c>
      <c r="X233" s="305">
        <v>2045</v>
      </c>
      <c r="Y233" s="305">
        <v>2046</v>
      </c>
      <c r="Z233" s="305">
        <v>2047</v>
      </c>
      <c r="AA233" s="305">
        <v>2048</v>
      </c>
      <c r="AB233" s="305">
        <v>2049</v>
      </c>
      <c r="AC233" s="305">
        <v>2050</v>
      </c>
    </row>
    <row r="234" spans="1:81" ht="24" x14ac:dyDescent="0.7">
      <c r="A234" s="306" t="s">
        <v>565</v>
      </c>
      <c r="B234" s="307">
        <v>0</v>
      </c>
      <c r="C234" s="308">
        <v>0</v>
      </c>
      <c r="D234" s="309">
        <v>0</v>
      </c>
      <c r="E234" s="309">
        <v>0</v>
      </c>
      <c r="F234" s="309">
        <v>0</v>
      </c>
      <c r="G234" s="309">
        <v>0</v>
      </c>
      <c r="H234" s="309">
        <v>0</v>
      </c>
      <c r="I234" s="309">
        <v>0</v>
      </c>
      <c r="J234" s="309">
        <v>0</v>
      </c>
      <c r="K234" s="309">
        <v>0</v>
      </c>
      <c r="L234" s="309">
        <v>0</v>
      </c>
      <c r="M234" s="309">
        <v>0</v>
      </c>
      <c r="N234" s="309">
        <v>0</v>
      </c>
      <c r="O234" s="309">
        <v>0</v>
      </c>
      <c r="P234" s="309">
        <v>0</v>
      </c>
      <c r="Q234" s="309">
        <v>0</v>
      </c>
      <c r="R234" s="309">
        <v>0</v>
      </c>
      <c r="S234" s="309">
        <v>0</v>
      </c>
      <c r="T234" s="309">
        <v>0</v>
      </c>
      <c r="U234" s="309">
        <v>0</v>
      </c>
      <c r="V234" s="309">
        <v>0</v>
      </c>
      <c r="W234" s="309">
        <v>0</v>
      </c>
      <c r="X234" s="309">
        <v>0</v>
      </c>
      <c r="Y234" s="309">
        <v>0</v>
      </c>
      <c r="Z234" s="309">
        <v>0</v>
      </c>
      <c r="AA234" s="309">
        <v>0</v>
      </c>
      <c r="AB234" s="309">
        <v>0</v>
      </c>
      <c r="AC234" s="309">
        <v>0</v>
      </c>
    </row>
    <row r="235" spans="1:81" ht="24" x14ac:dyDescent="0.7">
      <c r="A235" s="306" t="s">
        <v>627</v>
      </c>
      <c r="B235" s="310">
        <f>1-(B234+B236)</f>
        <v>1</v>
      </c>
      <c r="C235" s="310">
        <f>1-(C234+C236)</f>
        <v>1</v>
      </c>
      <c r="D235" s="310">
        <f>1-(D234+D236)</f>
        <v>0.9285714285714286</v>
      </c>
      <c r="E235" s="310">
        <f t="shared" ref="E235:AC235" si="309">1-(E234+E236)</f>
        <v>0.85714285714285721</v>
      </c>
      <c r="F235" s="310">
        <f t="shared" si="309"/>
        <v>0.7857142857142857</v>
      </c>
      <c r="G235" s="310">
        <f t="shared" si="309"/>
        <v>0.7142857142857143</v>
      </c>
      <c r="H235" s="310">
        <f t="shared" si="309"/>
        <v>0.6428571428571429</v>
      </c>
      <c r="I235" s="310">
        <f t="shared" si="309"/>
        <v>0.57142857142857151</v>
      </c>
      <c r="J235" s="310">
        <f t="shared" si="309"/>
        <v>0.50000000000000011</v>
      </c>
      <c r="K235" s="310">
        <f t="shared" si="309"/>
        <v>0.42857142857142871</v>
      </c>
      <c r="L235" s="310">
        <f t="shared" si="309"/>
        <v>0.35714285714285732</v>
      </c>
      <c r="M235" s="310">
        <f t="shared" si="309"/>
        <v>0.28571428571428592</v>
      </c>
      <c r="N235" s="310">
        <f t="shared" si="309"/>
        <v>0.21428571428571452</v>
      </c>
      <c r="O235" s="310">
        <f t="shared" si="309"/>
        <v>0.14285714285714313</v>
      </c>
      <c r="P235" s="310">
        <f t="shared" si="309"/>
        <v>7.142857142857173E-2</v>
      </c>
      <c r="Q235" s="310">
        <f t="shared" si="309"/>
        <v>0</v>
      </c>
      <c r="R235" s="310">
        <f t="shared" si="309"/>
        <v>0</v>
      </c>
      <c r="S235" s="310">
        <f t="shared" si="309"/>
        <v>0</v>
      </c>
      <c r="T235" s="310">
        <f t="shared" si="309"/>
        <v>0</v>
      </c>
      <c r="U235" s="310">
        <f t="shared" si="309"/>
        <v>0</v>
      </c>
      <c r="V235" s="310">
        <f t="shared" si="309"/>
        <v>0</v>
      </c>
      <c r="W235" s="310">
        <f t="shared" si="309"/>
        <v>0</v>
      </c>
      <c r="X235" s="310">
        <f t="shared" si="309"/>
        <v>0</v>
      </c>
      <c r="Y235" s="310">
        <f t="shared" si="309"/>
        <v>0</v>
      </c>
      <c r="Z235" s="310">
        <f t="shared" si="309"/>
        <v>0</v>
      </c>
      <c r="AA235" s="310">
        <f t="shared" si="309"/>
        <v>0</v>
      </c>
      <c r="AB235" s="310">
        <f t="shared" si="309"/>
        <v>0</v>
      </c>
      <c r="AC235" s="310">
        <f t="shared" si="309"/>
        <v>0</v>
      </c>
    </row>
    <row r="236" spans="1:81" ht="24" x14ac:dyDescent="0.7">
      <c r="A236" s="306" t="s">
        <v>567</v>
      </c>
      <c r="B236" s="310">
        <v>0</v>
      </c>
      <c r="C236" s="309">
        <v>0</v>
      </c>
      <c r="D236" s="309">
        <f>(1/'Baseline Building Energy'!$B$199)</f>
        <v>7.1428571428571425E-2</v>
      </c>
      <c r="E236" s="309">
        <f>IF((D236+(1/'Baseline Building Energy'!$B$199))&gt;1,1,(D236+(1/'Baseline Building Energy'!$B$199)))</f>
        <v>0.14285714285714285</v>
      </c>
      <c r="F236" s="309">
        <f>IF((E236+(1/'Baseline Building Energy'!$B$199))&gt;1,1,(E236+(1/'Baseline Building Energy'!$B$199)))</f>
        <v>0.21428571428571427</v>
      </c>
      <c r="G236" s="309">
        <f>IF((F236+(1/'Baseline Building Energy'!$B$199))&gt;1,1,(F236+(1/'Baseline Building Energy'!$B$199)))</f>
        <v>0.2857142857142857</v>
      </c>
      <c r="H236" s="309">
        <f>IF((G236+(1/'Baseline Building Energy'!$B$199))&gt;1,1,(G236+(1/'Baseline Building Energy'!$B$199)))</f>
        <v>0.3571428571428571</v>
      </c>
      <c r="I236" s="309">
        <f>IF((H236+(1/'Baseline Building Energy'!$B$199))&gt;1,1,(H236+(1/'Baseline Building Energy'!$B$199)))</f>
        <v>0.42857142857142849</v>
      </c>
      <c r="J236" s="309">
        <f>IF((I236+(1/'Baseline Building Energy'!$B$199))&gt;1,1,(I236+(1/'Baseline Building Energy'!$B$199)))</f>
        <v>0.49999999999999989</v>
      </c>
      <c r="K236" s="309">
        <f>IF((J236+(1/'Baseline Building Energy'!$B$199))&gt;1,1,(J236+(1/'Baseline Building Energy'!$B$199)))</f>
        <v>0.57142857142857129</v>
      </c>
      <c r="L236" s="309">
        <f>IF((K236+(1/'Baseline Building Energy'!$B$199))&gt;1,1,(K236+(1/'Baseline Building Energy'!$B$199)))</f>
        <v>0.64285714285714268</v>
      </c>
      <c r="M236" s="309">
        <f>IF((L236+(1/'Baseline Building Energy'!$B$199))&gt;1,1,(L236+(1/'Baseline Building Energy'!$B$199)))</f>
        <v>0.71428571428571408</v>
      </c>
      <c r="N236" s="309">
        <f>IF((M236+(1/'Baseline Building Energy'!$B$199))&gt;1,1,(M236+(1/'Baseline Building Energy'!$B$199)))</f>
        <v>0.78571428571428548</v>
      </c>
      <c r="O236" s="309">
        <f>IF((N236+(1/'Baseline Building Energy'!$B$199))&gt;1,1,(N236+(1/'Baseline Building Energy'!$B$199)))</f>
        <v>0.85714285714285687</v>
      </c>
      <c r="P236" s="309">
        <f>IF((O236+(1/'Baseline Building Energy'!$B$199))&gt;1,1,(O236+(1/'Baseline Building Energy'!$B$199)))</f>
        <v>0.92857142857142827</v>
      </c>
      <c r="Q236" s="309">
        <f>IF((P236+(1/'Baseline Building Energy'!$B$199))&gt;1,1,(P236+(1/'Baseline Building Energy'!$B$199)))</f>
        <v>0.99999999999999967</v>
      </c>
      <c r="R236" s="309">
        <f>IF((Q236+(1/'Baseline Building Energy'!$B$199))&gt;1,1,(Q236+(1/'Baseline Building Energy'!$B$199)))</f>
        <v>1</v>
      </c>
      <c r="S236" s="309">
        <f>IF((R236+(1/'Baseline Building Energy'!$B$199))&gt;1,1,(R236+(1/'Baseline Building Energy'!$B$199)))</f>
        <v>1</v>
      </c>
      <c r="T236" s="309">
        <f>IF((S236+(1/'Baseline Building Energy'!$B$199))&gt;1,1,(S236+(1/'Baseline Building Energy'!$B$199)))</f>
        <v>1</v>
      </c>
      <c r="U236" s="309">
        <f>IF((T236+(1/'Baseline Building Energy'!$B$199))&gt;1,1,(T236+(1/'Baseline Building Energy'!$B$199)))</f>
        <v>1</v>
      </c>
      <c r="V236" s="309">
        <f>IF((U236+(1/'Baseline Building Energy'!$B$199))&gt;1,1,(U236+(1/'Baseline Building Energy'!$B$199)))</f>
        <v>1</v>
      </c>
      <c r="W236" s="309">
        <f>IF((V236+(1/'Baseline Building Energy'!$B$199))&gt;1,1,(V236+(1/'Baseline Building Energy'!$B$199)))</f>
        <v>1</v>
      </c>
      <c r="X236" s="309">
        <f>IF((W236+(1/'Baseline Building Energy'!$B$199))&gt;1,1,(W236+(1/'Baseline Building Energy'!$B$199)))</f>
        <v>1</v>
      </c>
      <c r="Y236" s="309">
        <f>IF((X236+(1/'Baseline Building Energy'!$B$199))&gt;1,1,(X236+(1/'Baseline Building Energy'!$B$199)))</f>
        <v>1</v>
      </c>
      <c r="Z236" s="309">
        <f>IF((Y236+(1/'Baseline Building Energy'!$B$199))&gt;1,1,(Y236+(1/'Baseline Building Energy'!$B$199)))</f>
        <v>1</v>
      </c>
      <c r="AA236" s="309">
        <f>IF((Z236+(1/'Baseline Building Energy'!$B$199))&gt;1,1,(Z236+(1/'Baseline Building Energy'!$B$199)))</f>
        <v>1</v>
      </c>
      <c r="AB236" s="309">
        <f>IF((AA236+(1/'Baseline Building Energy'!$B$199))&gt;1,1,(AA236+(1/'Baseline Building Energy'!$B$199)))</f>
        <v>1</v>
      </c>
      <c r="AC236" s="309">
        <f>IF((AB236+(1/'Baseline Building Energy'!$B$199))&gt;1,1,(AB236+(1/'Baseline Building Energy'!$B$199)))</f>
        <v>1</v>
      </c>
    </row>
    <row r="237" spans="1:81" ht="24" x14ac:dyDescent="0.85">
      <c r="A237" s="71" t="s">
        <v>629</v>
      </c>
      <c r="B237" s="279"/>
      <c r="C237" s="279"/>
      <c r="D237" s="279"/>
      <c r="E237" s="279"/>
      <c r="F237" s="279"/>
      <c r="G237" s="279"/>
      <c r="H237" s="279"/>
      <c r="I237" s="279"/>
      <c r="J237" s="279"/>
      <c r="K237" s="279"/>
      <c r="L237" s="279"/>
      <c r="M237" s="279"/>
      <c r="N237" s="279"/>
      <c r="O237" s="279"/>
      <c r="P237" s="279"/>
      <c r="Q237" s="279"/>
      <c r="R237" s="279"/>
      <c r="S237" s="279"/>
      <c r="T237" s="279"/>
      <c r="U237" s="279"/>
      <c r="V237" s="279"/>
      <c r="W237" s="279"/>
      <c r="X237" s="279"/>
      <c r="Y237" s="279"/>
      <c r="Z237" s="279"/>
      <c r="AA237" s="279"/>
      <c r="AB237" s="279"/>
      <c r="AC237" s="280"/>
    </row>
    <row r="238" spans="1:81" ht="24" x14ac:dyDescent="0.7">
      <c r="A238" s="281" t="s">
        <v>564</v>
      </c>
      <c r="B238" s="305">
        <v>2023</v>
      </c>
      <c r="C238" s="305">
        <v>2024</v>
      </c>
      <c r="D238" s="305">
        <v>2025</v>
      </c>
      <c r="E238" s="305">
        <v>2026</v>
      </c>
      <c r="F238" s="305">
        <v>2027</v>
      </c>
      <c r="G238" s="305">
        <v>2028</v>
      </c>
      <c r="H238" s="305">
        <v>2029</v>
      </c>
      <c r="I238" s="305">
        <v>2030</v>
      </c>
      <c r="J238" s="305">
        <v>2031</v>
      </c>
      <c r="K238" s="305">
        <v>2032</v>
      </c>
      <c r="L238" s="305">
        <v>2033</v>
      </c>
      <c r="M238" s="305">
        <v>2034</v>
      </c>
      <c r="N238" s="305">
        <v>2035</v>
      </c>
      <c r="O238" s="305">
        <v>2036</v>
      </c>
      <c r="P238" s="305">
        <v>2037</v>
      </c>
      <c r="Q238" s="305">
        <v>2038</v>
      </c>
      <c r="R238" s="305">
        <v>2039</v>
      </c>
      <c r="S238" s="305">
        <v>2040</v>
      </c>
      <c r="T238" s="305">
        <v>2041</v>
      </c>
      <c r="U238" s="305">
        <v>2042</v>
      </c>
      <c r="V238" s="305">
        <v>2043</v>
      </c>
      <c r="W238" s="305">
        <v>2044</v>
      </c>
      <c r="X238" s="305">
        <v>2045</v>
      </c>
      <c r="Y238" s="305">
        <v>2046</v>
      </c>
      <c r="Z238" s="305">
        <v>2047</v>
      </c>
      <c r="AA238" s="305">
        <v>2048</v>
      </c>
      <c r="AB238" s="305">
        <v>2049</v>
      </c>
      <c r="AC238" s="305">
        <v>2050</v>
      </c>
    </row>
    <row r="239" spans="1:81" ht="24" x14ac:dyDescent="0.7">
      <c r="A239" s="306" t="s">
        <v>565</v>
      </c>
      <c r="B239" s="310">
        <f>B248*2</f>
        <v>0</v>
      </c>
      <c r="C239" s="309">
        <f>B248*1</f>
        <v>0</v>
      </c>
      <c r="D239" s="309">
        <v>0</v>
      </c>
      <c r="E239" s="309">
        <v>0</v>
      </c>
      <c r="F239" s="309">
        <v>0</v>
      </c>
      <c r="G239" s="309">
        <v>0</v>
      </c>
      <c r="H239" s="309">
        <v>0</v>
      </c>
      <c r="I239" s="309">
        <v>0</v>
      </c>
      <c r="J239" s="309">
        <v>0</v>
      </c>
      <c r="K239" s="309">
        <v>0</v>
      </c>
      <c r="L239" s="309">
        <v>0</v>
      </c>
      <c r="M239" s="309">
        <v>0</v>
      </c>
      <c r="N239" s="309">
        <v>0</v>
      </c>
      <c r="O239" s="309">
        <v>0</v>
      </c>
      <c r="P239" s="309">
        <v>0</v>
      </c>
      <c r="Q239" s="309">
        <v>0</v>
      </c>
      <c r="R239" s="309">
        <v>0</v>
      </c>
      <c r="S239" s="309">
        <v>0</v>
      </c>
      <c r="T239" s="309">
        <v>0</v>
      </c>
      <c r="U239" s="309">
        <v>0</v>
      </c>
      <c r="V239" s="309">
        <v>0</v>
      </c>
      <c r="W239" s="309">
        <v>0</v>
      </c>
      <c r="X239" s="309">
        <v>0</v>
      </c>
      <c r="Y239" s="309">
        <v>0</v>
      </c>
      <c r="Z239" s="309">
        <v>0</v>
      </c>
      <c r="AA239" s="309">
        <v>0</v>
      </c>
      <c r="AB239" s="309">
        <v>0</v>
      </c>
      <c r="AC239" s="309">
        <v>0</v>
      </c>
    </row>
    <row r="240" spans="1:81" ht="24" x14ac:dyDescent="0.7">
      <c r="A240" s="306" t="s">
        <v>627</v>
      </c>
      <c r="B240" s="310">
        <f>1-(B239+B241)</f>
        <v>1</v>
      </c>
      <c r="C240" s="310">
        <f t="shared" ref="C240:AC240" si="310">1-(C239+C241)</f>
        <v>1</v>
      </c>
      <c r="D240" s="310">
        <f t="shared" si="310"/>
        <v>0</v>
      </c>
      <c r="E240" s="310">
        <f t="shared" si="310"/>
        <v>0</v>
      </c>
      <c r="F240" s="310">
        <f t="shared" si="310"/>
        <v>0</v>
      </c>
      <c r="G240" s="310">
        <f t="shared" si="310"/>
        <v>0</v>
      </c>
      <c r="H240" s="310">
        <f t="shared" si="310"/>
        <v>0</v>
      </c>
      <c r="I240" s="310">
        <f t="shared" si="310"/>
        <v>0</v>
      </c>
      <c r="J240" s="310">
        <f t="shared" si="310"/>
        <v>0</v>
      </c>
      <c r="K240" s="310">
        <f t="shared" si="310"/>
        <v>0</v>
      </c>
      <c r="L240" s="310">
        <f t="shared" si="310"/>
        <v>0</v>
      </c>
      <c r="M240" s="310">
        <f t="shared" si="310"/>
        <v>0</v>
      </c>
      <c r="N240" s="310">
        <f t="shared" si="310"/>
        <v>0</v>
      </c>
      <c r="O240" s="310">
        <f t="shared" si="310"/>
        <v>0</v>
      </c>
      <c r="P240" s="310">
        <f t="shared" si="310"/>
        <v>0</v>
      </c>
      <c r="Q240" s="310">
        <f t="shared" si="310"/>
        <v>0</v>
      </c>
      <c r="R240" s="310">
        <f t="shared" si="310"/>
        <v>0</v>
      </c>
      <c r="S240" s="310">
        <f t="shared" si="310"/>
        <v>0</v>
      </c>
      <c r="T240" s="310">
        <f t="shared" si="310"/>
        <v>0</v>
      </c>
      <c r="U240" s="310">
        <f t="shared" si="310"/>
        <v>0</v>
      </c>
      <c r="V240" s="310">
        <f t="shared" si="310"/>
        <v>0</v>
      </c>
      <c r="W240" s="310">
        <f t="shared" si="310"/>
        <v>0</v>
      </c>
      <c r="X240" s="310">
        <f t="shared" si="310"/>
        <v>0</v>
      </c>
      <c r="Y240" s="310">
        <f t="shared" si="310"/>
        <v>0</v>
      </c>
      <c r="Z240" s="310">
        <f t="shared" si="310"/>
        <v>0</v>
      </c>
      <c r="AA240" s="310">
        <f t="shared" si="310"/>
        <v>0</v>
      </c>
      <c r="AB240" s="310">
        <f t="shared" si="310"/>
        <v>0</v>
      </c>
      <c r="AC240" s="310">
        <f t="shared" si="310"/>
        <v>0</v>
      </c>
    </row>
    <row r="241" spans="1:29" ht="24" x14ac:dyDescent="0.7">
      <c r="A241" s="306" t="s">
        <v>567</v>
      </c>
      <c r="B241" s="310">
        <v>0</v>
      </c>
      <c r="C241" s="309">
        <v>0</v>
      </c>
      <c r="D241" s="309">
        <v>1</v>
      </c>
      <c r="E241" s="309">
        <v>1</v>
      </c>
      <c r="F241" s="309">
        <v>1</v>
      </c>
      <c r="G241" s="309">
        <v>1</v>
      </c>
      <c r="H241" s="309">
        <v>1</v>
      </c>
      <c r="I241" s="309">
        <v>1</v>
      </c>
      <c r="J241" s="309">
        <v>1</v>
      </c>
      <c r="K241" s="309">
        <v>1</v>
      </c>
      <c r="L241" s="309">
        <v>1</v>
      </c>
      <c r="M241" s="309">
        <v>1</v>
      </c>
      <c r="N241" s="309">
        <v>1</v>
      </c>
      <c r="O241" s="309">
        <v>1</v>
      </c>
      <c r="P241" s="309">
        <v>1</v>
      </c>
      <c r="Q241" s="309">
        <v>1</v>
      </c>
      <c r="R241" s="309">
        <v>1</v>
      </c>
      <c r="S241" s="309">
        <v>1</v>
      </c>
      <c r="T241" s="309">
        <v>1</v>
      </c>
      <c r="U241" s="309">
        <v>1</v>
      </c>
      <c r="V241" s="309">
        <v>1</v>
      </c>
      <c r="W241" s="309">
        <v>1</v>
      </c>
      <c r="X241" s="309">
        <v>1</v>
      </c>
      <c r="Y241" s="309">
        <v>1</v>
      </c>
      <c r="Z241" s="309">
        <v>1</v>
      </c>
      <c r="AA241" s="309">
        <v>1</v>
      </c>
      <c r="AB241" s="309">
        <v>1</v>
      </c>
      <c r="AC241" s="309">
        <v>1</v>
      </c>
    </row>
  </sheetData>
  <mergeCells count="52">
    <mergeCell ref="A220:L220"/>
    <mergeCell ref="A219:L219"/>
    <mergeCell ref="A218:L218"/>
    <mergeCell ref="A217:L217"/>
    <mergeCell ref="A201:AH201"/>
    <mergeCell ref="A208:C208"/>
    <mergeCell ref="A207:C207"/>
    <mergeCell ref="A205:C205"/>
    <mergeCell ref="A206:C206"/>
    <mergeCell ref="A202:C202"/>
    <mergeCell ref="A203:C203"/>
    <mergeCell ref="A204:C204"/>
    <mergeCell ref="A214:C214"/>
    <mergeCell ref="A213:C213"/>
    <mergeCell ref="A209:AH209"/>
    <mergeCell ref="A210:C210"/>
    <mergeCell ref="A199:L199"/>
    <mergeCell ref="A177:L177"/>
    <mergeCell ref="A195:L195"/>
    <mergeCell ref="A200:L200"/>
    <mergeCell ref="A109:L109"/>
    <mergeCell ref="A111:L111"/>
    <mergeCell ref="A144:L144"/>
    <mergeCell ref="A211:C211"/>
    <mergeCell ref="A212:C212"/>
    <mergeCell ref="A5:L5"/>
    <mergeCell ref="A180:L180"/>
    <mergeCell ref="A148:L148"/>
    <mergeCell ref="A181:L181"/>
    <mergeCell ref="A25:L25"/>
    <mergeCell ref="A6:L6"/>
    <mergeCell ref="A149:L149"/>
    <mergeCell ref="A150:L150"/>
    <mergeCell ref="A106:L106"/>
    <mergeCell ref="A28:L28"/>
    <mergeCell ref="A61:L61"/>
    <mergeCell ref="A105:L105"/>
    <mergeCell ref="A104:L104"/>
    <mergeCell ref="A110:L110"/>
    <mergeCell ref="A81:L81"/>
    <mergeCell ref="A126:L126"/>
    <mergeCell ref="A129:L129"/>
    <mergeCell ref="A84:L84"/>
    <mergeCell ref="A29:L29"/>
    <mergeCell ref="A30:L30"/>
    <mergeCell ref="A62:L62"/>
    <mergeCell ref="A42:C42"/>
    <mergeCell ref="A73:C73"/>
    <mergeCell ref="A59:AJ59"/>
    <mergeCell ref="A63:AJ63"/>
    <mergeCell ref="A108:L108"/>
    <mergeCell ref="A107:L107"/>
  </mergeCells>
  <pageMargins left="0.7" right="0.7" top="0.75" bottom="0.75" header="0.3" footer="0.3"/>
  <pageSetup orientation="portrait" r:id="rId1"/>
  <ignoredErrors>
    <ignoredError sqref="L14:AF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1E6CA-E090-47C7-976D-F5ABEAEA01F7}">
  <sheetPr codeName="Sheet7">
    <tabColor theme="1"/>
  </sheetPr>
  <dimension ref="A1:AT113"/>
  <sheetViews>
    <sheetView topLeftCell="A89" zoomScale="70" zoomScaleNormal="70" workbookViewId="0">
      <selection activeCell="C96" sqref="C96"/>
    </sheetView>
  </sheetViews>
  <sheetFormatPr defaultColWidth="9.109375" defaultRowHeight="20.399999999999999" x14ac:dyDescent="0.7"/>
  <cols>
    <col min="1" max="1" width="47.44140625" style="61" customWidth="1"/>
    <col min="2" max="2" width="41.5546875" style="61" bestFit="1" customWidth="1"/>
    <col min="3" max="3" width="24.88671875" style="61" customWidth="1"/>
    <col min="4" max="4" width="34" style="61" customWidth="1"/>
    <col min="5" max="5" width="103.5546875" style="61" customWidth="1"/>
    <col min="6" max="6" width="24.44140625" style="61" customWidth="1"/>
    <col min="7" max="8" width="22.44140625" style="61" bestFit="1" customWidth="1"/>
    <col min="9" max="9" width="23.5546875" style="61" customWidth="1"/>
    <col min="10" max="10" width="13.44140625" style="61" customWidth="1"/>
    <col min="11" max="12" width="9.109375" style="61"/>
    <col min="13" max="13" width="23.44140625" style="61" customWidth="1"/>
    <col min="14" max="14" width="33" style="61" bestFit="1" customWidth="1"/>
    <col min="15" max="15" width="27.44140625" style="61" customWidth="1"/>
    <col min="16" max="16" width="22.44140625" style="61" customWidth="1"/>
    <col min="17" max="17" width="91.5546875" style="61" customWidth="1"/>
    <col min="18" max="16384" width="9.109375" style="61"/>
  </cols>
  <sheetData>
    <row r="1" spans="1:46" ht="50.1" customHeight="1" x14ac:dyDescent="0.7">
      <c r="A1" s="566" t="s">
        <v>0</v>
      </c>
      <c r="B1" s="567"/>
      <c r="C1" s="567"/>
      <c r="D1" s="567"/>
      <c r="E1" s="567"/>
      <c r="F1" s="453"/>
      <c r="G1" s="453"/>
      <c r="H1" s="453"/>
      <c r="I1" s="45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row>
    <row r="2" spans="1:46" ht="31.8" x14ac:dyDescent="0.7">
      <c r="A2" s="292" t="s">
        <v>1</v>
      </c>
      <c r="B2" s="293"/>
      <c r="C2" s="293"/>
      <c r="D2" s="293"/>
      <c r="E2" s="294"/>
      <c r="F2" s="204"/>
      <c r="G2" s="204"/>
      <c r="H2" s="204"/>
      <c r="I2" s="204"/>
    </row>
    <row r="3" spans="1:46" ht="25.35" customHeight="1" x14ac:dyDescent="0.7">
      <c r="A3" s="580" t="s">
        <v>2</v>
      </c>
      <c r="B3" s="580"/>
      <c r="C3" s="580"/>
      <c r="D3" s="580"/>
      <c r="E3" s="1"/>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4"/>
      <c r="AK3" s="204"/>
      <c r="AL3" s="204"/>
      <c r="AM3" s="204"/>
      <c r="AN3" s="204"/>
      <c r="AO3" s="204"/>
      <c r="AP3" s="204"/>
      <c r="AQ3" s="204"/>
      <c r="AR3" s="204"/>
      <c r="AS3" s="204"/>
      <c r="AT3" s="204"/>
    </row>
    <row r="4" spans="1:46" ht="25.35" customHeight="1" x14ac:dyDescent="0.7">
      <c r="A4" s="2" t="s">
        <v>3</v>
      </c>
      <c r="B4" s="2" t="s">
        <v>4</v>
      </c>
      <c r="C4" s="2" t="s">
        <v>3</v>
      </c>
      <c r="D4" s="2" t="s">
        <v>4</v>
      </c>
      <c r="E4" s="1"/>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row>
    <row r="5" spans="1:46" ht="25.35" customHeight="1" x14ac:dyDescent="0.7">
      <c r="A5" s="3">
        <v>2204.62</v>
      </c>
      <c r="B5" s="4" t="s">
        <v>5</v>
      </c>
      <c r="C5" s="5">
        <v>1</v>
      </c>
      <c r="D5" s="4" t="s">
        <v>6</v>
      </c>
      <c r="E5" s="1"/>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row>
    <row r="6" spans="1:46" ht="25.35" customHeight="1" x14ac:dyDescent="0.7">
      <c r="A6" s="3">
        <v>2000</v>
      </c>
      <c r="B6" s="4" t="s">
        <v>5</v>
      </c>
      <c r="C6" s="5">
        <v>1</v>
      </c>
      <c r="D6" s="4" t="s">
        <v>7</v>
      </c>
      <c r="E6" s="1"/>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row>
    <row r="7" spans="1:46" ht="25.35" customHeight="1" x14ac:dyDescent="0.7">
      <c r="A7" s="3">
        <v>1000</v>
      </c>
      <c r="B7" s="4" t="s">
        <v>681</v>
      </c>
      <c r="C7" s="5">
        <v>1</v>
      </c>
      <c r="D7" s="4" t="s">
        <v>682</v>
      </c>
      <c r="E7" s="1"/>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row>
    <row r="8" spans="1:46" ht="25.35" customHeight="1" x14ac:dyDescent="0.7">
      <c r="A8" s="3">
        <v>1000</v>
      </c>
      <c r="B8" s="4" t="s">
        <v>9</v>
      </c>
      <c r="C8" s="5">
        <v>1</v>
      </c>
      <c r="D8" s="4" t="s">
        <v>10</v>
      </c>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4"/>
      <c r="AG8" s="204"/>
      <c r="AH8" s="204"/>
      <c r="AI8" s="204"/>
      <c r="AJ8" s="204"/>
      <c r="AK8" s="204"/>
      <c r="AL8" s="204"/>
      <c r="AM8" s="204"/>
      <c r="AN8" s="204"/>
      <c r="AO8" s="204"/>
      <c r="AP8" s="204"/>
      <c r="AQ8" s="204"/>
      <c r="AR8" s="204"/>
      <c r="AS8" s="204"/>
      <c r="AT8" s="204"/>
    </row>
    <row r="9" spans="1:46" ht="25.35" customHeight="1" x14ac:dyDescent="0.7">
      <c r="A9" s="3">
        <v>1000</v>
      </c>
      <c r="B9" s="4" t="s">
        <v>11</v>
      </c>
      <c r="C9" s="5">
        <v>1</v>
      </c>
      <c r="D9" s="4" t="s">
        <v>6</v>
      </c>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4"/>
      <c r="AI9" s="204"/>
      <c r="AJ9" s="204"/>
      <c r="AK9" s="204"/>
      <c r="AL9" s="204"/>
      <c r="AM9" s="204"/>
      <c r="AN9" s="204"/>
      <c r="AO9" s="204"/>
      <c r="AP9" s="204"/>
      <c r="AQ9" s="204"/>
      <c r="AR9" s="204"/>
      <c r="AS9" s="204"/>
      <c r="AT9" s="204"/>
    </row>
    <row r="10" spans="1:46" ht="25.35" customHeight="1" x14ac:dyDescent="0.7">
      <c r="A10" s="3">
        <v>1000000</v>
      </c>
      <c r="B10" s="4" t="s">
        <v>12</v>
      </c>
      <c r="C10" s="5">
        <v>1</v>
      </c>
      <c r="D10" s="4" t="s">
        <v>6</v>
      </c>
      <c r="E10" s="204"/>
      <c r="F10" s="204"/>
      <c r="G10" s="204"/>
      <c r="H10" s="204"/>
      <c r="I10" s="204"/>
      <c r="J10" s="204"/>
      <c r="K10" s="204"/>
      <c r="L10" s="204"/>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204"/>
      <c r="AP10" s="204"/>
      <c r="AQ10" s="204"/>
      <c r="AR10" s="204"/>
      <c r="AS10" s="204"/>
      <c r="AT10" s="204"/>
    </row>
    <row r="11" spans="1:46" ht="25.35" customHeight="1" x14ac:dyDescent="0.7">
      <c r="A11" s="3">
        <v>100</v>
      </c>
      <c r="B11" s="4" t="s">
        <v>13</v>
      </c>
      <c r="C11" s="5">
        <v>1</v>
      </c>
      <c r="D11" s="4" t="s">
        <v>14</v>
      </c>
      <c r="E11" s="204"/>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4"/>
      <c r="AL11" s="204"/>
      <c r="AM11" s="204"/>
      <c r="AN11" s="204"/>
      <c r="AO11" s="204"/>
      <c r="AP11" s="204"/>
      <c r="AQ11" s="204"/>
      <c r="AR11" s="204"/>
      <c r="AS11" s="204"/>
      <c r="AT11" s="204"/>
    </row>
    <row r="12" spans="1:46" ht="25.35" customHeight="1" x14ac:dyDescent="0.7">
      <c r="A12" s="3">
        <v>3.4121419999999998</v>
      </c>
      <c r="B12" s="4" t="s">
        <v>112</v>
      </c>
      <c r="C12" s="5">
        <v>1</v>
      </c>
      <c r="D12" s="4" t="s">
        <v>8</v>
      </c>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4"/>
      <c r="AS12" s="204"/>
      <c r="AT12" s="204"/>
    </row>
    <row r="13" spans="1:46" ht="25.35" customHeight="1" x14ac:dyDescent="0.7">
      <c r="A13" s="3">
        <v>100.06699999999999</v>
      </c>
      <c r="B13" s="4" t="s">
        <v>69</v>
      </c>
      <c r="C13" s="5">
        <v>1</v>
      </c>
      <c r="D13" s="4" t="s">
        <v>14</v>
      </c>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c r="AP13" s="204"/>
      <c r="AQ13" s="204"/>
      <c r="AR13" s="204"/>
      <c r="AS13" s="204"/>
      <c r="AT13" s="204"/>
    </row>
    <row r="14" spans="1:46" ht="25.35" customHeight="1" x14ac:dyDescent="0.7">
      <c r="A14" s="3">
        <f>0.1/0.00341</f>
        <v>29.325513196480941</v>
      </c>
      <c r="B14" s="4" t="s">
        <v>8</v>
      </c>
      <c r="C14" s="5">
        <v>1</v>
      </c>
      <c r="D14" s="4" t="s">
        <v>14</v>
      </c>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row>
    <row r="15" spans="1:46" ht="25.35" customHeight="1" x14ac:dyDescent="0.7">
      <c r="A15" s="3">
        <f>91502/1000000</f>
        <v>9.1502E-2</v>
      </c>
      <c r="B15" s="4" t="s">
        <v>15</v>
      </c>
      <c r="C15" s="5">
        <v>1</v>
      </c>
      <c r="D15" s="4" t="s">
        <v>16</v>
      </c>
      <c r="E15" s="204"/>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4"/>
      <c r="AL15" s="204"/>
      <c r="AM15" s="204"/>
      <c r="AN15" s="204"/>
      <c r="AO15" s="204"/>
      <c r="AP15" s="204"/>
      <c r="AQ15" s="204"/>
      <c r="AR15" s="204"/>
      <c r="AS15" s="204"/>
      <c r="AT15" s="204"/>
    </row>
    <row r="16" spans="1:46" ht="25.35" customHeight="1" x14ac:dyDescent="0.7">
      <c r="A16" s="3">
        <v>0.13850000000000001</v>
      </c>
      <c r="B16" s="4" t="s">
        <v>17</v>
      </c>
      <c r="C16" s="5">
        <v>1</v>
      </c>
      <c r="D16" s="4" t="s">
        <v>18</v>
      </c>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c r="AP16" s="204"/>
      <c r="AQ16" s="204"/>
      <c r="AR16" s="204"/>
      <c r="AS16" s="204"/>
      <c r="AT16" s="204"/>
    </row>
    <row r="17" spans="1:46" ht="25.35" customHeight="1" x14ac:dyDescent="0.7">
      <c r="A17" s="3">
        <v>1</v>
      </c>
      <c r="B17" s="4" t="s">
        <v>11</v>
      </c>
      <c r="C17" s="5">
        <v>2.2046199999999998</v>
      </c>
      <c r="D17" s="4" t="s">
        <v>5</v>
      </c>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row>
    <row r="18" spans="1:46" ht="25.35" customHeight="1" x14ac:dyDescent="0.7">
      <c r="A18" s="3">
        <v>1</v>
      </c>
      <c r="B18" s="4" t="s">
        <v>19</v>
      </c>
      <c r="C18" s="5">
        <v>10.7639</v>
      </c>
      <c r="D18" s="4" t="s">
        <v>20</v>
      </c>
      <c r="E18" s="204"/>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4"/>
      <c r="AL18" s="204"/>
      <c r="AM18" s="204"/>
      <c r="AN18" s="204"/>
      <c r="AO18" s="204"/>
      <c r="AP18" s="204"/>
      <c r="AQ18" s="204"/>
      <c r="AR18" s="204"/>
      <c r="AS18" s="204"/>
      <c r="AT18" s="204"/>
    </row>
    <row r="19" spans="1:46" ht="25.35" customHeight="1" x14ac:dyDescent="0.7">
      <c r="A19" s="3">
        <v>1</v>
      </c>
      <c r="B19" s="4" t="s">
        <v>63</v>
      </c>
      <c r="C19" s="14">
        <v>33.704999999999998</v>
      </c>
      <c r="D19" s="4" t="s">
        <v>64</v>
      </c>
      <c r="E19" s="204"/>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4"/>
      <c r="AL19" s="204"/>
      <c r="AM19" s="204"/>
      <c r="AN19" s="204"/>
      <c r="AO19" s="204"/>
      <c r="AP19" s="204"/>
      <c r="AQ19" s="204"/>
      <c r="AR19" s="204"/>
      <c r="AS19" s="204"/>
      <c r="AT19" s="204"/>
    </row>
    <row r="20" spans="1:46" ht="25.35" customHeight="1" x14ac:dyDescent="0.7">
      <c r="A20" s="3">
        <v>1</v>
      </c>
      <c r="B20" s="4" t="s">
        <v>18</v>
      </c>
      <c r="C20" s="14">
        <v>1.1359999999999999</v>
      </c>
      <c r="D20" s="4" t="s">
        <v>65</v>
      </c>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4"/>
      <c r="AL20" s="204"/>
      <c r="AM20" s="204"/>
      <c r="AN20" s="204"/>
      <c r="AO20" s="204"/>
      <c r="AP20" s="204"/>
      <c r="AQ20" s="204"/>
      <c r="AR20" s="204"/>
      <c r="AS20" s="204"/>
      <c r="AT20" s="204"/>
    </row>
    <row r="21" spans="1:46" ht="25.35" customHeight="1" x14ac:dyDescent="0.7">
      <c r="A21" s="3">
        <v>2.8320000000000001E-2</v>
      </c>
      <c r="B21" s="4" t="s">
        <v>129</v>
      </c>
      <c r="C21" s="5">
        <v>1</v>
      </c>
      <c r="D21" s="4" t="s">
        <v>130</v>
      </c>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4"/>
      <c r="AM21" s="204"/>
      <c r="AN21" s="204"/>
      <c r="AO21" s="204"/>
      <c r="AP21" s="204"/>
      <c r="AQ21" s="204"/>
      <c r="AR21" s="204"/>
      <c r="AS21" s="204"/>
      <c r="AT21" s="204"/>
    </row>
    <row r="22" spans="1:46" ht="25.35" customHeight="1" x14ac:dyDescent="0.7">
      <c r="A22" s="3">
        <v>1</v>
      </c>
      <c r="B22" s="4" t="s">
        <v>430</v>
      </c>
      <c r="C22" s="178">
        <v>0.90718469999999996</v>
      </c>
      <c r="D22" s="4" t="s">
        <v>6</v>
      </c>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c r="AP22" s="204"/>
      <c r="AQ22" s="204"/>
      <c r="AR22" s="204"/>
      <c r="AS22" s="204"/>
      <c r="AT22" s="204"/>
    </row>
    <row r="23" spans="1:46" ht="25.35" customHeight="1" x14ac:dyDescent="0.7">
      <c r="A23" s="581" t="s">
        <v>21</v>
      </c>
      <c r="B23" s="581"/>
      <c r="C23" s="581"/>
      <c r="D23" s="581"/>
      <c r="E23" s="581"/>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4"/>
      <c r="AM23" s="204"/>
      <c r="AN23" s="204"/>
      <c r="AO23" s="204"/>
      <c r="AP23" s="204"/>
      <c r="AQ23" s="204"/>
      <c r="AR23" s="204"/>
      <c r="AS23" s="204"/>
      <c r="AT23" s="204"/>
    </row>
    <row r="24" spans="1:46" ht="25.35" customHeight="1" x14ac:dyDescent="0.7">
      <c r="A24" s="2" t="s">
        <v>22</v>
      </c>
      <c r="B24" s="2" t="s">
        <v>23</v>
      </c>
      <c r="C24" s="2" t="s">
        <v>24</v>
      </c>
      <c r="D24" s="446" t="s">
        <v>25</v>
      </c>
      <c r="E24" s="446"/>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4"/>
      <c r="AM24" s="204"/>
      <c r="AN24" s="204"/>
      <c r="AO24" s="204"/>
      <c r="AP24" s="204"/>
      <c r="AQ24" s="204"/>
      <c r="AR24" s="204"/>
      <c r="AS24" s="204"/>
      <c r="AT24" s="204"/>
    </row>
    <row r="25" spans="1:46" ht="25.35" customHeight="1" x14ac:dyDescent="0.7">
      <c r="A25" s="4" t="s">
        <v>26</v>
      </c>
      <c r="B25" s="6" t="s">
        <v>27</v>
      </c>
      <c r="C25" s="6">
        <v>1</v>
      </c>
      <c r="D25" s="515" t="s">
        <v>504</v>
      </c>
      <c r="E25" s="517"/>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4"/>
      <c r="AL25" s="204"/>
      <c r="AM25" s="204"/>
      <c r="AN25" s="204"/>
      <c r="AO25" s="204"/>
      <c r="AP25" s="204"/>
      <c r="AQ25" s="204"/>
      <c r="AR25" s="204"/>
      <c r="AS25" s="204"/>
      <c r="AT25" s="204"/>
    </row>
    <row r="26" spans="1:46" ht="25.35" customHeight="1" x14ac:dyDescent="0.7">
      <c r="A26" s="4" t="s">
        <v>28</v>
      </c>
      <c r="B26" s="6" t="s">
        <v>29</v>
      </c>
      <c r="C26" s="7">
        <v>28</v>
      </c>
      <c r="D26" s="518"/>
      <c r="E26" s="520"/>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c r="AP26" s="204"/>
      <c r="AQ26" s="204"/>
      <c r="AR26" s="204"/>
      <c r="AS26" s="204"/>
      <c r="AT26" s="204"/>
    </row>
    <row r="27" spans="1:46" ht="25.35" customHeight="1" x14ac:dyDescent="0.7">
      <c r="A27" s="4" t="s">
        <v>30</v>
      </c>
      <c r="B27" s="6" t="s">
        <v>661</v>
      </c>
      <c r="C27" s="7">
        <v>265</v>
      </c>
      <c r="D27" s="521"/>
      <c r="E27" s="523"/>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4"/>
      <c r="AM27" s="204"/>
      <c r="AN27" s="204"/>
      <c r="AO27" s="204"/>
      <c r="AP27" s="204"/>
      <c r="AQ27" s="204"/>
      <c r="AR27" s="204"/>
      <c r="AS27" s="204"/>
      <c r="AT27" s="204"/>
    </row>
    <row r="28" spans="1:46" ht="25.35" customHeight="1" x14ac:dyDescent="0.7">
      <c r="A28" s="384" t="s">
        <v>565</v>
      </c>
      <c r="B28" s="384" t="s">
        <v>572</v>
      </c>
      <c r="C28" s="386">
        <v>1760</v>
      </c>
      <c r="D28" s="582" t="s">
        <v>573</v>
      </c>
      <c r="E28" s="583"/>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4"/>
      <c r="AM28" s="204"/>
      <c r="AN28" s="204"/>
      <c r="AO28" s="204"/>
      <c r="AP28" s="204"/>
      <c r="AQ28" s="204"/>
      <c r="AR28" s="204"/>
      <c r="AS28" s="204"/>
      <c r="AT28" s="204"/>
    </row>
    <row r="29" spans="1:46" ht="25.35" customHeight="1" x14ac:dyDescent="0.7">
      <c r="A29" s="384" t="s">
        <v>627</v>
      </c>
      <c r="B29" s="384" t="s">
        <v>630</v>
      </c>
      <c r="C29" s="386">
        <v>1300</v>
      </c>
      <c r="D29" s="584"/>
      <c r="E29" s="585"/>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4"/>
      <c r="AL29" s="204"/>
      <c r="AM29" s="204"/>
      <c r="AN29" s="204"/>
      <c r="AO29" s="204"/>
      <c r="AP29" s="204"/>
      <c r="AQ29" s="204"/>
      <c r="AR29" s="204"/>
      <c r="AS29" s="204"/>
      <c r="AT29" s="204"/>
    </row>
    <row r="30" spans="1:46" ht="25.35" customHeight="1" x14ac:dyDescent="0.7">
      <c r="A30" s="384" t="s">
        <v>574</v>
      </c>
      <c r="B30" s="384" t="s">
        <v>575</v>
      </c>
      <c r="C30" s="386">
        <v>1923.5</v>
      </c>
      <c r="D30" s="586"/>
      <c r="E30" s="587"/>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4"/>
      <c r="AL30" s="204"/>
      <c r="AM30" s="204"/>
      <c r="AN30" s="204"/>
      <c r="AO30" s="204"/>
      <c r="AP30" s="204"/>
      <c r="AQ30" s="204"/>
      <c r="AR30" s="204"/>
      <c r="AS30" s="204"/>
      <c r="AT30" s="204"/>
    </row>
    <row r="31" spans="1:46" ht="44.1" customHeight="1" x14ac:dyDescent="0.7">
      <c r="A31" s="384" t="s">
        <v>567</v>
      </c>
      <c r="B31" s="385" t="s">
        <v>576</v>
      </c>
      <c r="C31" s="386">
        <v>677</v>
      </c>
      <c r="D31" s="588" t="s">
        <v>577</v>
      </c>
      <c r="E31" s="589"/>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4"/>
      <c r="AL31" s="204"/>
      <c r="AM31" s="204"/>
      <c r="AN31" s="204"/>
      <c r="AO31" s="204"/>
      <c r="AP31" s="204"/>
      <c r="AQ31" s="204"/>
      <c r="AR31" s="204"/>
      <c r="AS31" s="204"/>
      <c r="AT31" s="204"/>
    </row>
    <row r="32" spans="1:46" ht="44.1" customHeight="1" x14ac:dyDescent="0.7">
      <c r="A32" s="384" t="s">
        <v>578</v>
      </c>
      <c r="B32" s="6" t="s">
        <v>27</v>
      </c>
      <c r="C32" s="386">
        <v>1</v>
      </c>
      <c r="D32" s="590" t="s">
        <v>579</v>
      </c>
      <c r="E32" s="590"/>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04"/>
      <c r="AP32" s="204"/>
      <c r="AQ32" s="204"/>
      <c r="AR32" s="204"/>
      <c r="AS32" s="204"/>
      <c r="AT32" s="204"/>
    </row>
    <row r="33" spans="1:46" x14ac:dyDescent="0.7">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row>
    <row r="34" spans="1:46" ht="31.8" x14ac:dyDescent="0.7">
      <c r="A34" s="292" t="s">
        <v>31</v>
      </c>
      <c r="B34" s="293"/>
      <c r="C34" s="293"/>
      <c r="D34" s="293"/>
      <c r="E34" s="294"/>
      <c r="F34" s="204"/>
      <c r="G34" s="204"/>
      <c r="H34" s="204"/>
      <c r="I34" s="204"/>
    </row>
    <row r="35" spans="1:46" ht="25.35" customHeight="1" x14ac:dyDescent="0.7">
      <c r="A35" s="580" t="s">
        <v>32</v>
      </c>
      <c r="B35" s="580"/>
      <c r="C35" s="580"/>
      <c r="D35" s="580"/>
      <c r="E35" s="580"/>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row>
    <row r="36" spans="1:46" ht="25.35" customHeight="1" x14ac:dyDescent="0.7">
      <c r="A36" s="571" t="s">
        <v>38</v>
      </c>
      <c r="B36" s="571"/>
      <c r="C36" s="571"/>
      <c r="D36" s="571"/>
      <c r="E36" s="571"/>
      <c r="F36" s="204"/>
      <c r="G36" s="204"/>
      <c r="H36" s="204"/>
      <c r="I36" s="204"/>
      <c r="J36" s="204"/>
      <c r="K36" s="204"/>
      <c r="L36" s="204"/>
      <c r="M36" s="204"/>
      <c r="N36" s="204"/>
      <c r="O36" s="204"/>
      <c r="P36" s="204"/>
    </row>
    <row r="37" spans="1:46" ht="25.35" customHeight="1" x14ac:dyDescent="0.7">
      <c r="A37" s="570" t="s">
        <v>34</v>
      </c>
      <c r="B37" s="570"/>
      <c r="C37" s="314" t="s">
        <v>3</v>
      </c>
      <c r="D37" s="314" t="s">
        <v>35</v>
      </c>
      <c r="E37" s="314" t="s">
        <v>25</v>
      </c>
      <c r="F37" s="204"/>
      <c r="G37" s="204"/>
      <c r="H37" s="204"/>
      <c r="I37" s="204"/>
      <c r="J37" s="204"/>
      <c r="K37" s="204"/>
      <c r="L37" s="204"/>
      <c r="M37" s="204"/>
      <c r="N37" s="204"/>
      <c r="O37" s="204"/>
      <c r="P37" s="204"/>
    </row>
    <row r="38" spans="1:46" ht="92.25" customHeight="1" x14ac:dyDescent="0.7">
      <c r="A38" s="473" t="s">
        <v>27</v>
      </c>
      <c r="B38" s="475"/>
      <c r="C38" s="86">
        <v>5.3060000000000008E-3</v>
      </c>
      <c r="D38" s="4" t="s">
        <v>39</v>
      </c>
      <c r="E38" s="88" t="s">
        <v>191</v>
      </c>
      <c r="F38" s="204"/>
      <c r="G38" s="204"/>
      <c r="H38" s="204"/>
      <c r="I38" s="204"/>
      <c r="J38" s="204"/>
      <c r="K38" s="204"/>
      <c r="L38" s="204"/>
      <c r="M38" s="204"/>
      <c r="N38" s="204"/>
      <c r="O38" s="204"/>
      <c r="P38" s="204"/>
    </row>
    <row r="39" spans="1:46" ht="48.75" customHeight="1" x14ac:dyDescent="0.7">
      <c r="A39" s="473" t="s">
        <v>29</v>
      </c>
      <c r="B39" s="475"/>
      <c r="C39" s="356">
        <v>1.0000000000000001E-7</v>
      </c>
      <c r="D39" s="6" t="s">
        <v>40</v>
      </c>
      <c r="E39" s="591" t="s">
        <v>192</v>
      </c>
      <c r="F39" s="204"/>
      <c r="G39" s="204"/>
      <c r="H39" s="204"/>
      <c r="I39" s="204"/>
      <c r="J39" s="204"/>
      <c r="K39" s="204"/>
      <c r="L39" s="204"/>
      <c r="M39" s="204"/>
      <c r="N39" s="204"/>
      <c r="O39" s="204"/>
      <c r="P39" s="204"/>
    </row>
    <row r="40" spans="1:46" ht="48.75" customHeight="1" x14ac:dyDescent="0.7">
      <c r="A40" s="473" t="s">
        <v>37</v>
      </c>
      <c r="B40" s="475"/>
      <c r="C40" s="87">
        <v>1.0000000000000002E-8</v>
      </c>
      <c r="D40" s="6" t="s">
        <v>41</v>
      </c>
      <c r="E40" s="592"/>
      <c r="F40" s="204"/>
      <c r="G40" s="204"/>
      <c r="H40" s="204"/>
      <c r="I40" s="204"/>
      <c r="J40" s="204"/>
      <c r="K40" s="204"/>
      <c r="L40" s="204"/>
      <c r="M40" s="204"/>
      <c r="N40" s="204"/>
      <c r="O40" s="204"/>
      <c r="P40" s="204"/>
    </row>
    <row r="41" spans="1:46" ht="25.35" customHeight="1" x14ac:dyDescent="0.7">
      <c r="A41" s="571" t="s">
        <v>42</v>
      </c>
      <c r="B41" s="571"/>
      <c r="C41" s="571"/>
      <c r="D41" s="571"/>
      <c r="E41" s="571"/>
      <c r="F41" s="204"/>
      <c r="G41" s="204"/>
      <c r="H41" s="204"/>
      <c r="I41" s="204"/>
      <c r="J41" s="204"/>
      <c r="K41" s="204"/>
      <c r="L41" s="204"/>
      <c r="M41" s="204"/>
      <c r="N41" s="204"/>
      <c r="O41" s="204"/>
      <c r="P41" s="204"/>
    </row>
    <row r="42" spans="1:46" ht="25.35" customHeight="1" x14ac:dyDescent="0.7">
      <c r="A42" s="570" t="s">
        <v>34</v>
      </c>
      <c r="B42" s="570"/>
      <c r="C42" s="314" t="s">
        <v>3</v>
      </c>
      <c r="D42" s="314" t="s">
        <v>35</v>
      </c>
      <c r="E42" s="314" t="s">
        <v>25</v>
      </c>
      <c r="F42" s="204"/>
      <c r="G42" s="204"/>
      <c r="H42" s="204"/>
      <c r="I42" s="204"/>
      <c r="J42" s="204"/>
      <c r="K42" s="204"/>
      <c r="L42" s="204"/>
      <c r="M42" s="204"/>
      <c r="N42" s="204"/>
      <c r="O42" s="204"/>
      <c r="P42" s="204"/>
    </row>
    <row r="43" spans="1:46" ht="25.35" customHeight="1" x14ac:dyDescent="0.7">
      <c r="A43" s="458" t="s">
        <v>27</v>
      </c>
      <c r="B43" s="458"/>
      <c r="C43" s="52">
        <v>5.5900000000000004E-3</v>
      </c>
      <c r="D43" s="4" t="s">
        <v>47</v>
      </c>
      <c r="E43" s="579" t="s">
        <v>193</v>
      </c>
      <c r="F43" s="204"/>
      <c r="G43" s="204"/>
      <c r="H43" s="204"/>
      <c r="I43" s="204"/>
      <c r="J43" s="204"/>
      <c r="K43" s="204"/>
      <c r="L43" s="204"/>
      <c r="M43" s="204"/>
      <c r="N43" s="204"/>
      <c r="O43" s="204"/>
      <c r="P43" s="204"/>
    </row>
    <row r="44" spans="1:46" ht="25.35" customHeight="1" x14ac:dyDescent="0.7">
      <c r="A44" s="458" t="s">
        <v>29</v>
      </c>
      <c r="B44" s="458"/>
      <c r="C44" s="8">
        <v>9.9999999999999995E-7</v>
      </c>
      <c r="D44" s="6" t="s">
        <v>199</v>
      </c>
      <c r="E44" s="579"/>
      <c r="F44" s="204"/>
      <c r="G44" s="204"/>
      <c r="H44" s="204"/>
      <c r="I44" s="204"/>
      <c r="J44" s="204"/>
      <c r="K44" s="204"/>
      <c r="L44" s="204"/>
      <c r="M44" s="204"/>
      <c r="N44" s="204"/>
      <c r="O44" s="204"/>
      <c r="P44" s="204"/>
    </row>
    <row r="45" spans="1:46" ht="25.35" customHeight="1" x14ac:dyDescent="0.7">
      <c r="A45" s="458" t="s">
        <v>37</v>
      </c>
      <c r="B45" s="458"/>
      <c r="C45" s="8">
        <v>1.0000000000000001E-7</v>
      </c>
      <c r="D45" s="6" t="s">
        <v>200</v>
      </c>
      <c r="E45" s="579"/>
      <c r="F45" s="204"/>
      <c r="G45" s="204"/>
      <c r="H45" s="204"/>
      <c r="I45" s="204"/>
      <c r="J45" s="204"/>
      <c r="K45" s="204"/>
      <c r="L45" s="204"/>
      <c r="M45" s="204"/>
      <c r="N45" s="204"/>
      <c r="O45" s="204"/>
      <c r="P45" s="204"/>
    </row>
    <row r="46" spans="1:46" ht="25.35" customHeight="1" x14ac:dyDescent="0.7">
      <c r="A46" s="571" t="s">
        <v>114</v>
      </c>
      <c r="B46" s="571"/>
      <c r="C46" s="571"/>
      <c r="D46" s="571"/>
      <c r="E46" s="571"/>
      <c r="F46" s="204"/>
      <c r="G46" s="204"/>
      <c r="H46" s="204"/>
      <c r="I46" s="204"/>
      <c r="J46" s="204"/>
      <c r="K46" s="204"/>
      <c r="L46" s="204"/>
      <c r="M46" s="204"/>
      <c r="N46" s="204"/>
      <c r="O46" s="204"/>
      <c r="P46" s="204"/>
    </row>
    <row r="47" spans="1:46" ht="25.35" customHeight="1" x14ac:dyDescent="0.7">
      <c r="A47" s="570" t="s">
        <v>34</v>
      </c>
      <c r="B47" s="570"/>
      <c r="C47" s="314" t="s">
        <v>3</v>
      </c>
      <c r="D47" s="314" t="s">
        <v>35</v>
      </c>
      <c r="E47" s="314" t="s">
        <v>25</v>
      </c>
      <c r="F47" s="204"/>
      <c r="G47" s="204"/>
      <c r="H47" s="204"/>
      <c r="I47" s="204"/>
      <c r="J47" s="204"/>
      <c r="K47" s="204"/>
      <c r="L47" s="204"/>
      <c r="M47" s="204"/>
      <c r="N47" s="204"/>
      <c r="O47" s="204"/>
      <c r="P47" s="204"/>
    </row>
    <row r="48" spans="1:46" ht="25.35" customHeight="1" x14ac:dyDescent="0.7">
      <c r="A48" s="458" t="s">
        <v>194</v>
      </c>
      <c r="B48" s="458"/>
      <c r="C48" s="52">
        <v>93.8</v>
      </c>
      <c r="D48" s="9" t="s">
        <v>195</v>
      </c>
      <c r="E48" s="579" t="s">
        <v>196</v>
      </c>
      <c r="F48" s="204"/>
      <c r="G48" s="204"/>
      <c r="H48" s="204"/>
      <c r="I48" s="204"/>
      <c r="J48" s="204"/>
      <c r="K48" s="204"/>
      <c r="L48" s="204"/>
      <c r="M48" s="204"/>
      <c r="N48" s="204"/>
      <c r="O48" s="204"/>
      <c r="P48" s="204"/>
    </row>
    <row r="49" spans="1:16" ht="25.35" customHeight="1" x14ac:dyDescent="0.7">
      <c r="A49" s="458" t="s">
        <v>29</v>
      </c>
      <c r="B49" s="458"/>
      <c r="C49" s="8">
        <v>0.316</v>
      </c>
      <c r="D49" s="9" t="s">
        <v>195</v>
      </c>
      <c r="E49" s="579"/>
      <c r="F49" s="204"/>
      <c r="G49" s="204"/>
      <c r="H49" s="204"/>
      <c r="I49" s="204"/>
      <c r="J49" s="204"/>
      <c r="K49" s="204"/>
      <c r="L49" s="204"/>
      <c r="M49" s="204"/>
      <c r="N49" s="204"/>
      <c r="O49" s="204"/>
      <c r="P49" s="204"/>
    </row>
    <row r="50" spans="1:16" ht="25.35" customHeight="1" x14ac:dyDescent="0.7">
      <c r="A50" s="458" t="s">
        <v>37</v>
      </c>
      <c r="B50" s="458"/>
      <c r="C50" s="8">
        <v>4.1999999999999997E-3</v>
      </c>
      <c r="D50" s="9" t="s">
        <v>195</v>
      </c>
      <c r="E50" s="579"/>
      <c r="F50" s="204"/>
      <c r="G50" s="204"/>
      <c r="H50" s="204"/>
      <c r="I50" s="204"/>
      <c r="J50" s="204"/>
      <c r="K50" s="204"/>
      <c r="L50" s="204"/>
      <c r="M50" s="204"/>
      <c r="N50" s="204"/>
      <c r="O50" s="204"/>
      <c r="P50" s="204"/>
    </row>
    <row r="51" spans="1:16" ht="25.35" customHeight="1" x14ac:dyDescent="0.7">
      <c r="A51" s="573" t="s">
        <v>43</v>
      </c>
      <c r="B51" s="573"/>
      <c r="C51" s="573"/>
      <c r="D51" s="573"/>
      <c r="E51" s="573"/>
      <c r="F51" s="204"/>
      <c r="G51" s="204"/>
      <c r="H51" s="204"/>
      <c r="I51" s="204"/>
      <c r="J51" s="204"/>
      <c r="K51" s="204"/>
      <c r="L51" s="204"/>
      <c r="M51" s="204"/>
      <c r="N51" s="204"/>
      <c r="O51" s="204"/>
      <c r="P51" s="204"/>
    </row>
    <row r="52" spans="1:16" ht="25.35" customHeight="1" x14ac:dyDescent="0.7">
      <c r="A52" s="571" t="s">
        <v>44</v>
      </c>
      <c r="B52" s="571"/>
      <c r="C52" s="571"/>
      <c r="D52" s="571"/>
      <c r="E52" s="571"/>
      <c r="F52" s="204"/>
      <c r="G52" s="204"/>
      <c r="H52" s="204"/>
      <c r="I52" s="204"/>
      <c r="J52" s="204"/>
      <c r="K52" s="204"/>
      <c r="L52" s="204"/>
      <c r="M52" s="204"/>
      <c r="N52" s="204"/>
      <c r="O52" s="204"/>
      <c r="P52" s="204"/>
    </row>
    <row r="53" spans="1:16" ht="25.35" customHeight="1" x14ac:dyDescent="0.7">
      <c r="A53" s="314" t="s">
        <v>34</v>
      </c>
      <c r="B53" s="314" t="s">
        <v>45</v>
      </c>
      <c r="C53" s="314" t="s">
        <v>3</v>
      </c>
      <c r="D53" s="314" t="s">
        <v>35</v>
      </c>
      <c r="E53" s="314" t="s">
        <v>25</v>
      </c>
      <c r="F53" s="204"/>
      <c r="G53" s="204"/>
      <c r="H53" s="204"/>
      <c r="I53" s="204"/>
      <c r="J53" s="204"/>
      <c r="K53" s="204"/>
      <c r="L53" s="204"/>
      <c r="M53" s="204"/>
      <c r="N53" s="204"/>
      <c r="O53" s="204"/>
      <c r="P53" s="204"/>
    </row>
    <row r="54" spans="1:16" ht="25.35" customHeight="1" x14ac:dyDescent="0.7">
      <c r="A54" s="108" t="s">
        <v>27</v>
      </c>
      <c r="B54" s="109" t="s">
        <v>46</v>
      </c>
      <c r="C54" s="110">
        <v>8.7799999999999996E-3</v>
      </c>
      <c r="D54" s="335" t="s">
        <v>47</v>
      </c>
      <c r="E54" s="576" t="s">
        <v>235</v>
      </c>
      <c r="F54" s="204"/>
      <c r="G54" s="204"/>
      <c r="H54" s="204"/>
      <c r="I54" s="204"/>
      <c r="J54" s="204"/>
      <c r="K54" s="204"/>
      <c r="L54" s="204"/>
      <c r="M54" s="204"/>
      <c r="N54" s="204"/>
      <c r="O54" s="204"/>
      <c r="P54" s="204"/>
    </row>
    <row r="55" spans="1:16" ht="25.35" customHeight="1" x14ac:dyDescent="0.7">
      <c r="A55" s="111" t="s">
        <v>29</v>
      </c>
      <c r="B55" s="112" t="s">
        <v>48</v>
      </c>
      <c r="C55" s="110">
        <v>7.9000000000000008E-3</v>
      </c>
      <c r="D55" s="336" t="s">
        <v>49</v>
      </c>
      <c r="E55" s="577"/>
      <c r="F55" s="204"/>
      <c r="G55" s="204"/>
      <c r="H55" s="204"/>
      <c r="I55" s="204"/>
      <c r="J55" s="204"/>
      <c r="K55" s="204"/>
      <c r="L55" s="204"/>
      <c r="M55" s="204"/>
      <c r="N55" s="204"/>
      <c r="O55" s="204"/>
      <c r="P55" s="204"/>
    </row>
    <row r="56" spans="1:16" ht="25.35" customHeight="1" x14ac:dyDescent="0.7">
      <c r="A56" s="111" t="s">
        <v>29</v>
      </c>
      <c r="B56" s="112" t="s">
        <v>50</v>
      </c>
      <c r="C56" s="110">
        <v>7.6E-3</v>
      </c>
      <c r="D56" s="336" t="s">
        <v>49</v>
      </c>
      <c r="E56" s="577"/>
      <c r="F56" s="204"/>
      <c r="G56" s="204"/>
      <c r="H56" s="204"/>
      <c r="I56" s="204"/>
      <c r="J56" s="204"/>
      <c r="K56" s="204"/>
      <c r="L56" s="204"/>
      <c r="M56" s="204"/>
      <c r="N56" s="204"/>
      <c r="O56" s="204"/>
      <c r="P56" s="204"/>
    </row>
    <row r="57" spans="1:16" ht="25.35" customHeight="1" x14ac:dyDescent="0.7">
      <c r="A57" s="111" t="s">
        <v>29</v>
      </c>
      <c r="B57" s="112" t="s">
        <v>236</v>
      </c>
      <c r="C57" s="110">
        <v>4.36E-2</v>
      </c>
      <c r="D57" s="336" t="s">
        <v>49</v>
      </c>
      <c r="E57" s="577"/>
      <c r="F57" s="204"/>
      <c r="G57" s="204"/>
      <c r="H57" s="204"/>
      <c r="I57" s="204"/>
      <c r="J57" s="204"/>
      <c r="K57" s="204"/>
      <c r="L57" s="204"/>
      <c r="M57" s="204"/>
      <c r="N57" s="204"/>
      <c r="O57" s="204"/>
      <c r="P57" s="204"/>
    </row>
    <row r="58" spans="1:16" ht="25.35" customHeight="1" x14ac:dyDescent="0.7">
      <c r="A58" s="111" t="s">
        <v>29</v>
      </c>
      <c r="B58" s="112" t="s">
        <v>52</v>
      </c>
      <c r="C58" s="110">
        <v>6.8378076999999995E-2</v>
      </c>
      <c r="D58" s="336" t="s">
        <v>49</v>
      </c>
      <c r="E58" s="577"/>
      <c r="F58" s="204"/>
      <c r="G58" s="204"/>
      <c r="H58" s="204"/>
      <c r="I58" s="204"/>
      <c r="J58" s="204"/>
      <c r="K58" s="204"/>
      <c r="L58" s="204"/>
      <c r="M58" s="204"/>
      <c r="N58" s="204"/>
      <c r="O58" s="204"/>
      <c r="P58" s="204"/>
    </row>
    <row r="59" spans="1:16" ht="25.35" customHeight="1" x14ac:dyDescent="0.7">
      <c r="A59" s="111" t="s">
        <v>37</v>
      </c>
      <c r="B59" s="112" t="s">
        <v>48</v>
      </c>
      <c r="C59" s="110">
        <v>5.4000000000000003E-3</v>
      </c>
      <c r="D59" s="336" t="s">
        <v>53</v>
      </c>
      <c r="E59" s="577"/>
      <c r="F59" s="204"/>
      <c r="G59" s="204"/>
      <c r="H59" s="204"/>
      <c r="I59" s="204"/>
      <c r="J59" s="204"/>
      <c r="K59" s="204"/>
      <c r="L59" s="204"/>
      <c r="M59" s="204"/>
      <c r="N59" s="204"/>
      <c r="O59" s="204"/>
      <c r="P59" s="204"/>
    </row>
    <row r="60" spans="1:16" ht="25.35" customHeight="1" x14ac:dyDescent="0.7">
      <c r="A60" s="111" t="s">
        <v>37</v>
      </c>
      <c r="B60" s="112" t="s">
        <v>50</v>
      </c>
      <c r="C60" s="110">
        <v>7.4000000000000003E-3</v>
      </c>
      <c r="D60" s="336" t="s">
        <v>53</v>
      </c>
      <c r="E60" s="577"/>
      <c r="F60" s="204"/>
      <c r="G60" s="204"/>
      <c r="H60" s="204"/>
      <c r="I60" s="204"/>
      <c r="J60" s="204"/>
      <c r="K60" s="204"/>
      <c r="L60" s="204"/>
      <c r="M60" s="204"/>
      <c r="N60" s="204"/>
      <c r="O60" s="204"/>
      <c r="P60" s="204"/>
    </row>
    <row r="61" spans="1:16" ht="25.35" customHeight="1" x14ac:dyDescent="0.7">
      <c r="A61" s="111" t="s">
        <v>37</v>
      </c>
      <c r="B61" s="112" t="s">
        <v>236</v>
      </c>
      <c r="C61" s="110">
        <v>3.5799999999999998E-2</v>
      </c>
      <c r="D61" s="336" t="s">
        <v>53</v>
      </c>
      <c r="E61" s="577"/>
      <c r="F61" s="204"/>
      <c r="G61" s="204"/>
      <c r="H61" s="204"/>
      <c r="I61" s="204"/>
      <c r="J61" s="204"/>
      <c r="K61" s="204"/>
      <c r="L61" s="204"/>
      <c r="M61" s="204"/>
      <c r="N61" s="204"/>
      <c r="O61" s="204"/>
      <c r="P61" s="204"/>
    </row>
    <row r="62" spans="1:16" ht="25.35" customHeight="1" x14ac:dyDescent="0.7">
      <c r="A62" s="111" t="s">
        <v>37</v>
      </c>
      <c r="B62" s="111" t="s">
        <v>52</v>
      </c>
      <c r="C62" s="110">
        <v>1.495252E-2</v>
      </c>
      <c r="D62" s="336" t="s">
        <v>53</v>
      </c>
      <c r="E62" s="578"/>
      <c r="F62" s="204"/>
      <c r="G62" s="204"/>
      <c r="H62" s="204"/>
      <c r="I62" s="204"/>
      <c r="J62" s="204"/>
      <c r="K62" s="204"/>
      <c r="L62" s="204"/>
      <c r="M62" s="204"/>
      <c r="N62" s="204"/>
      <c r="O62" s="204"/>
      <c r="P62" s="204"/>
    </row>
    <row r="63" spans="1:16" ht="25.35" customHeight="1" x14ac:dyDescent="0.7">
      <c r="A63" s="571" t="s">
        <v>54</v>
      </c>
      <c r="B63" s="571"/>
      <c r="C63" s="571"/>
      <c r="D63" s="571"/>
      <c r="E63" s="571"/>
      <c r="F63" s="204"/>
      <c r="G63" s="204"/>
      <c r="H63" s="204"/>
      <c r="I63" s="204"/>
      <c r="J63" s="204"/>
      <c r="K63" s="204"/>
      <c r="L63" s="204"/>
      <c r="M63" s="204"/>
      <c r="N63" s="204"/>
      <c r="O63" s="204"/>
      <c r="P63" s="204"/>
    </row>
    <row r="64" spans="1:16" ht="25.35" customHeight="1" x14ac:dyDescent="0.7">
      <c r="A64" s="314" t="s">
        <v>34</v>
      </c>
      <c r="B64" s="314" t="s">
        <v>45</v>
      </c>
      <c r="C64" s="314" t="s">
        <v>3</v>
      </c>
      <c r="D64" s="314" t="s">
        <v>35</v>
      </c>
      <c r="E64" s="314" t="s">
        <v>25</v>
      </c>
      <c r="F64" s="204"/>
      <c r="G64" s="204"/>
      <c r="H64" s="204"/>
      <c r="I64" s="204"/>
      <c r="J64" s="204"/>
      <c r="K64" s="204"/>
      <c r="L64" s="204"/>
      <c r="M64" s="204"/>
      <c r="N64" s="204"/>
      <c r="O64" s="204"/>
      <c r="P64" s="204"/>
    </row>
    <row r="65" spans="1:16" ht="25.35" customHeight="1" x14ac:dyDescent="0.7">
      <c r="A65" s="108" t="s">
        <v>27</v>
      </c>
      <c r="B65" s="109" t="s">
        <v>46</v>
      </c>
      <c r="C65" s="113">
        <v>1.021E-2</v>
      </c>
      <c r="D65" s="335" t="s">
        <v>47</v>
      </c>
      <c r="E65" s="575" t="s">
        <v>235</v>
      </c>
      <c r="F65" s="204"/>
      <c r="G65" s="204"/>
      <c r="H65" s="204"/>
      <c r="I65" s="204"/>
      <c r="J65" s="204"/>
      <c r="K65" s="204"/>
      <c r="L65" s="204"/>
      <c r="M65" s="204"/>
      <c r="N65" s="204"/>
      <c r="O65" s="204"/>
      <c r="P65" s="204"/>
    </row>
    <row r="66" spans="1:16" ht="25.35" customHeight="1" x14ac:dyDescent="0.7">
      <c r="A66" s="111" t="s">
        <v>29</v>
      </c>
      <c r="B66" s="112" t="s">
        <v>48</v>
      </c>
      <c r="C66" s="113">
        <v>2.9499999999999998E-2</v>
      </c>
      <c r="D66" s="336" t="s">
        <v>49</v>
      </c>
      <c r="E66" s="575"/>
      <c r="F66" s="204"/>
      <c r="G66" s="204"/>
      <c r="H66" s="204"/>
      <c r="I66" s="204"/>
      <c r="J66" s="204"/>
      <c r="K66" s="204"/>
      <c r="L66" s="204"/>
      <c r="M66" s="204"/>
      <c r="N66" s="204"/>
      <c r="O66" s="204"/>
      <c r="P66" s="204"/>
    </row>
    <row r="67" spans="1:16" ht="25.35" customHeight="1" x14ac:dyDescent="0.7">
      <c r="A67" s="111" t="s">
        <v>29</v>
      </c>
      <c r="B67" s="112" t="s">
        <v>50</v>
      </c>
      <c r="C67" s="113">
        <v>1.9170311999999998E-2</v>
      </c>
      <c r="D67" s="336" t="s">
        <v>49</v>
      </c>
      <c r="E67" s="575"/>
      <c r="F67" s="204"/>
      <c r="G67" s="204"/>
      <c r="H67" s="204"/>
      <c r="I67" s="204"/>
      <c r="J67" s="204"/>
      <c r="K67" s="204"/>
      <c r="L67" s="204"/>
      <c r="M67" s="204"/>
      <c r="N67" s="204"/>
      <c r="O67" s="204"/>
      <c r="P67" s="204"/>
    </row>
    <row r="68" spans="1:16" ht="25.35" customHeight="1" x14ac:dyDescent="0.7">
      <c r="A68" s="111" t="s">
        <v>29</v>
      </c>
      <c r="B68" s="112" t="s">
        <v>51</v>
      </c>
      <c r="C68" s="113">
        <v>8.5780930000000002E-3</v>
      </c>
      <c r="D68" s="336" t="s">
        <v>49</v>
      </c>
      <c r="E68" s="575"/>
      <c r="F68" s="204"/>
      <c r="G68" s="204"/>
      <c r="H68" s="204"/>
      <c r="I68" s="204"/>
      <c r="J68" s="204"/>
      <c r="K68" s="204"/>
      <c r="L68" s="204"/>
      <c r="M68" s="204"/>
      <c r="N68" s="204"/>
      <c r="O68" s="204"/>
      <c r="P68" s="204"/>
    </row>
    <row r="69" spans="1:16" ht="25.35" customHeight="1" x14ac:dyDescent="0.7">
      <c r="A69" s="111" t="s">
        <v>29</v>
      </c>
      <c r="B69" s="112" t="s">
        <v>198</v>
      </c>
      <c r="C69" s="113">
        <v>1.2230235000000001E-2</v>
      </c>
      <c r="D69" s="336" t="s">
        <v>49</v>
      </c>
      <c r="E69" s="575"/>
      <c r="F69" s="204"/>
      <c r="G69" s="204"/>
      <c r="H69" s="204"/>
      <c r="I69" s="204"/>
      <c r="J69" s="204"/>
      <c r="K69" s="204"/>
      <c r="L69" s="204"/>
      <c r="M69" s="204"/>
      <c r="N69" s="204"/>
      <c r="O69" s="204"/>
      <c r="P69" s="204"/>
    </row>
    <row r="70" spans="1:16" ht="25.35" customHeight="1" x14ac:dyDescent="0.7">
      <c r="A70" s="111" t="s">
        <v>37</v>
      </c>
      <c r="B70" s="112" t="s">
        <v>48</v>
      </c>
      <c r="C70" s="113">
        <v>1.8800000000000001E-2</v>
      </c>
      <c r="D70" s="336" t="s">
        <v>53</v>
      </c>
      <c r="E70" s="575"/>
      <c r="F70" s="204"/>
      <c r="G70" s="204"/>
      <c r="H70" s="204"/>
      <c r="I70" s="204"/>
      <c r="J70" s="204"/>
      <c r="K70" s="204"/>
      <c r="L70" s="204"/>
      <c r="M70" s="204"/>
      <c r="N70" s="204"/>
      <c r="O70" s="204"/>
      <c r="P70" s="204"/>
    </row>
    <row r="71" spans="1:16" ht="25.35" customHeight="1" x14ac:dyDescent="0.7">
      <c r="A71" s="111" t="s">
        <v>37</v>
      </c>
      <c r="B71" s="112" t="s">
        <v>50</v>
      </c>
      <c r="C71" s="113">
        <v>1.9170311999999998E-2</v>
      </c>
      <c r="D71" s="336" t="s">
        <v>53</v>
      </c>
      <c r="E71" s="575"/>
      <c r="F71" s="204"/>
      <c r="G71" s="204"/>
      <c r="H71" s="204"/>
      <c r="I71" s="204"/>
      <c r="J71" s="204"/>
      <c r="K71" s="204"/>
      <c r="L71" s="204"/>
      <c r="M71" s="204"/>
      <c r="N71" s="204"/>
      <c r="O71" s="204"/>
      <c r="P71" s="204"/>
    </row>
    <row r="72" spans="1:16" ht="25.35" customHeight="1" x14ac:dyDescent="0.7">
      <c r="A72" s="111" t="s">
        <v>37</v>
      </c>
      <c r="B72" s="112" t="s">
        <v>51</v>
      </c>
      <c r="C72" s="113">
        <v>3.5216105999999997E-2</v>
      </c>
      <c r="D72" s="336" t="s">
        <v>53</v>
      </c>
      <c r="E72" s="575"/>
      <c r="F72" s="204"/>
      <c r="G72" s="204"/>
      <c r="H72" s="204"/>
      <c r="I72" s="204"/>
      <c r="J72" s="204"/>
      <c r="K72" s="204"/>
      <c r="L72" s="204"/>
      <c r="M72" s="204"/>
      <c r="N72" s="204"/>
      <c r="O72" s="204"/>
      <c r="P72" s="204"/>
    </row>
    <row r="73" spans="1:16" ht="25.35" customHeight="1" x14ac:dyDescent="0.7">
      <c r="A73" s="111" t="s">
        <v>37</v>
      </c>
      <c r="B73" s="111" t="s">
        <v>198</v>
      </c>
      <c r="C73" s="113">
        <v>6.6881974999999996E-2</v>
      </c>
      <c r="D73" s="336" t="s">
        <v>53</v>
      </c>
      <c r="E73" s="575"/>
      <c r="F73" s="204"/>
      <c r="G73" s="204"/>
      <c r="H73" s="204"/>
      <c r="I73" s="204"/>
      <c r="J73" s="204"/>
      <c r="K73" s="204"/>
      <c r="L73" s="204"/>
      <c r="M73" s="204"/>
      <c r="N73" s="204"/>
      <c r="O73" s="204"/>
      <c r="P73" s="204"/>
    </row>
    <row r="74" spans="1:16" ht="25.35" customHeight="1" x14ac:dyDescent="0.7">
      <c r="A74" s="571" t="s">
        <v>55</v>
      </c>
      <c r="B74" s="571"/>
      <c r="C74" s="571"/>
      <c r="D74" s="571"/>
      <c r="E74" s="571"/>
      <c r="F74" s="204"/>
      <c r="G74" s="204"/>
      <c r="H74" s="204"/>
      <c r="I74" s="204"/>
      <c r="J74" s="204"/>
      <c r="K74" s="204"/>
      <c r="L74" s="204"/>
      <c r="M74" s="204"/>
      <c r="N74" s="204"/>
      <c r="O74" s="204"/>
      <c r="P74" s="204"/>
    </row>
    <row r="75" spans="1:16" ht="25.35" customHeight="1" x14ac:dyDescent="0.7">
      <c r="A75" s="314" t="s">
        <v>34</v>
      </c>
      <c r="B75" s="314" t="s">
        <v>45</v>
      </c>
      <c r="C75" s="314" t="s">
        <v>3</v>
      </c>
      <c r="D75" s="314" t="s">
        <v>35</v>
      </c>
      <c r="E75" s="314" t="s">
        <v>25</v>
      </c>
      <c r="F75" s="204"/>
      <c r="G75" s="204"/>
      <c r="H75" s="204"/>
      <c r="I75" s="204"/>
      <c r="J75" s="204"/>
      <c r="K75" s="204"/>
      <c r="L75" s="204"/>
      <c r="M75" s="204"/>
      <c r="N75" s="204"/>
      <c r="O75" s="204"/>
      <c r="P75" s="204"/>
    </row>
    <row r="76" spans="1:16" ht="25.35" customHeight="1" x14ac:dyDescent="0.7">
      <c r="A76" s="108" t="s">
        <v>27</v>
      </c>
      <c r="B76" s="108" t="s">
        <v>46</v>
      </c>
      <c r="C76" s="114">
        <v>5.7499999999999999E-3</v>
      </c>
      <c r="D76" s="335" t="s">
        <v>47</v>
      </c>
      <c r="E76" s="574" t="s">
        <v>197</v>
      </c>
      <c r="F76" s="204"/>
      <c r="G76" s="204"/>
      <c r="H76" s="204"/>
      <c r="I76" s="204"/>
      <c r="J76" s="204"/>
      <c r="K76" s="204"/>
      <c r="L76" s="204"/>
      <c r="M76" s="204"/>
      <c r="N76" s="204"/>
      <c r="O76" s="204"/>
      <c r="P76" s="204"/>
    </row>
    <row r="77" spans="1:16" ht="25.35" customHeight="1" x14ac:dyDescent="0.7">
      <c r="A77" s="111" t="s">
        <v>29</v>
      </c>
      <c r="B77" s="111" t="s">
        <v>56</v>
      </c>
      <c r="C77" s="114">
        <v>5.5E-2</v>
      </c>
      <c r="D77" s="336" t="s">
        <v>49</v>
      </c>
      <c r="E77" s="574"/>
      <c r="F77" s="204"/>
      <c r="G77" s="204"/>
      <c r="H77" s="204"/>
      <c r="I77" s="204"/>
      <c r="J77" s="204"/>
      <c r="K77" s="204"/>
      <c r="L77" s="204"/>
      <c r="M77" s="204"/>
      <c r="N77" s="204"/>
      <c r="O77" s="204"/>
      <c r="P77" s="204"/>
    </row>
    <row r="78" spans="1:16" ht="25.35" customHeight="1" x14ac:dyDescent="0.7">
      <c r="A78" s="111" t="s">
        <v>29</v>
      </c>
      <c r="B78" s="111" t="s">
        <v>295</v>
      </c>
      <c r="C78" s="114">
        <v>0.19700000000000001</v>
      </c>
      <c r="D78" s="336" t="s">
        <v>49</v>
      </c>
      <c r="E78" s="574"/>
      <c r="F78" s="204"/>
      <c r="G78" s="204"/>
      <c r="H78" s="204"/>
      <c r="I78" s="204"/>
      <c r="J78" s="204"/>
      <c r="K78" s="204"/>
      <c r="L78" s="204"/>
      <c r="M78" s="204"/>
      <c r="N78" s="204"/>
      <c r="O78" s="204"/>
      <c r="P78" s="204"/>
    </row>
    <row r="79" spans="1:16" ht="25.35" customHeight="1" x14ac:dyDescent="0.7">
      <c r="A79" s="111" t="s">
        <v>29</v>
      </c>
      <c r="B79" s="111" t="s">
        <v>176</v>
      </c>
      <c r="C79" s="114">
        <v>0.193</v>
      </c>
      <c r="D79" s="336" t="s">
        <v>49</v>
      </c>
      <c r="E79" s="574"/>
      <c r="F79" s="204"/>
      <c r="G79" s="204"/>
      <c r="H79" s="204"/>
      <c r="I79" s="204"/>
      <c r="J79" s="204"/>
      <c r="K79" s="204"/>
      <c r="L79" s="204"/>
      <c r="M79" s="204"/>
      <c r="N79" s="204"/>
      <c r="O79" s="204"/>
      <c r="P79" s="204"/>
    </row>
    <row r="80" spans="1:16" ht="25.35" customHeight="1" x14ac:dyDescent="0.7">
      <c r="A80" s="111" t="s">
        <v>37</v>
      </c>
      <c r="B80" s="111" t="s">
        <v>56</v>
      </c>
      <c r="C80" s="114">
        <v>6.7000000000000004E-2</v>
      </c>
      <c r="D80" s="336" t="s">
        <v>53</v>
      </c>
      <c r="E80" s="574"/>
      <c r="F80" s="204"/>
      <c r="G80" s="204"/>
      <c r="H80" s="204"/>
      <c r="I80" s="204"/>
      <c r="J80" s="204"/>
      <c r="K80" s="204"/>
      <c r="L80" s="204"/>
      <c r="M80" s="204"/>
      <c r="N80" s="204"/>
      <c r="O80" s="204"/>
      <c r="P80" s="204"/>
    </row>
    <row r="81" spans="1:46" ht="25.35" customHeight="1" x14ac:dyDescent="0.7">
      <c r="A81" s="111" t="s">
        <v>37</v>
      </c>
      <c r="B81" s="111" t="s">
        <v>295</v>
      </c>
      <c r="C81" s="114">
        <v>0.17499999999999999</v>
      </c>
      <c r="D81" s="336" t="s">
        <v>53</v>
      </c>
      <c r="E81" s="574"/>
      <c r="F81" s="204"/>
      <c r="G81" s="204"/>
      <c r="H81" s="204"/>
      <c r="I81" s="204"/>
      <c r="J81" s="204"/>
      <c r="K81" s="204"/>
      <c r="L81" s="204"/>
      <c r="M81" s="204"/>
      <c r="N81" s="204"/>
      <c r="O81" s="204"/>
      <c r="P81" s="204"/>
    </row>
    <row r="82" spans="1:46" ht="25.35" customHeight="1" x14ac:dyDescent="0.85">
      <c r="A82" s="111" t="s">
        <v>37</v>
      </c>
      <c r="B82" s="111" t="s">
        <v>176</v>
      </c>
      <c r="C82" s="114">
        <v>2.9000000000000001E-2</v>
      </c>
      <c r="D82" s="336" t="s">
        <v>53</v>
      </c>
      <c r="E82" s="574"/>
      <c r="F82" s="334"/>
      <c r="G82" s="334"/>
      <c r="H82" s="334"/>
      <c r="I82" s="334"/>
      <c r="J82" s="334"/>
      <c r="K82" s="204"/>
      <c r="L82" s="204"/>
      <c r="M82" s="204"/>
      <c r="N82" s="204"/>
      <c r="O82" s="204"/>
      <c r="P82" s="204"/>
    </row>
    <row r="83" spans="1:46" ht="25.35" customHeight="1" x14ac:dyDescent="0.7">
      <c r="A83" s="571" t="s">
        <v>270</v>
      </c>
      <c r="B83" s="571"/>
      <c r="C83" s="571"/>
      <c r="D83" s="571"/>
      <c r="E83" s="571"/>
      <c r="F83" s="204"/>
      <c r="G83" s="204"/>
      <c r="H83" s="204"/>
      <c r="I83" s="204"/>
      <c r="J83" s="204"/>
      <c r="K83" s="204"/>
      <c r="L83" s="204"/>
      <c r="M83" s="204"/>
      <c r="N83" s="204"/>
      <c r="O83" s="204"/>
      <c r="P83" s="204"/>
    </row>
    <row r="84" spans="1:46" ht="25.35" customHeight="1" x14ac:dyDescent="0.7">
      <c r="A84" s="314" t="s">
        <v>34</v>
      </c>
      <c r="B84" s="314" t="s">
        <v>45</v>
      </c>
      <c r="C84" s="314" t="s">
        <v>3</v>
      </c>
      <c r="D84" s="314" t="s">
        <v>35</v>
      </c>
      <c r="E84" s="314" t="s">
        <v>25</v>
      </c>
      <c r="F84" s="204"/>
      <c r="G84" s="204"/>
      <c r="H84" s="204"/>
      <c r="I84" s="204"/>
      <c r="J84" s="204"/>
      <c r="K84" s="204"/>
      <c r="L84" s="204"/>
      <c r="M84" s="204"/>
      <c r="N84" s="204"/>
      <c r="O84" s="204"/>
      <c r="P84" s="204"/>
    </row>
    <row r="85" spans="1:46" ht="25.35" customHeight="1" x14ac:dyDescent="0.7">
      <c r="A85" s="108" t="s">
        <v>27</v>
      </c>
      <c r="B85" s="108" t="s">
        <v>46</v>
      </c>
      <c r="C85" s="113">
        <f>0.05444/A9</f>
        <v>5.4440000000000001E-5</v>
      </c>
      <c r="D85" s="335" t="s">
        <v>294</v>
      </c>
      <c r="E85" s="574" t="s">
        <v>197</v>
      </c>
      <c r="F85" s="204"/>
      <c r="G85" s="204"/>
      <c r="H85" s="204"/>
      <c r="I85" s="204"/>
      <c r="J85" s="204"/>
      <c r="K85" s="204"/>
      <c r="L85" s="204"/>
      <c r="M85" s="204"/>
      <c r="N85" s="204"/>
      <c r="O85" s="204"/>
      <c r="P85" s="204"/>
    </row>
    <row r="86" spans="1:46" ht="25.35" customHeight="1" x14ac:dyDescent="0.7">
      <c r="A86" s="111" t="s">
        <v>29</v>
      </c>
      <c r="B86" s="111" t="s">
        <v>176</v>
      </c>
      <c r="C86" s="114">
        <v>2.7530000000000001</v>
      </c>
      <c r="D86" s="336" t="s">
        <v>49</v>
      </c>
      <c r="E86" s="574"/>
      <c r="F86" s="204"/>
      <c r="G86" s="204"/>
      <c r="H86" s="204"/>
      <c r="I86" s="204"/>
      <c r="J86" s="204"/>
      <c r="K86" s="204"/>
      <c r="L86" s="204"/>
      <c r="M86" s="204"/>
      <c r="N86" s="204"/>
      <c r="O86" s="204"/>
      <c r="P86" s="204"/>
    </row>
    <row r="87" spans="1:46" ht="25.35" customHeight="1" x14ac:dyDescent="0.7">
      <c r="A87" s="111" t="s">
        <v>37</v>
      </c>
      <c r="B87" s="111" t="s">
        <v>176</v>
      </c>
      <c r="C87" s="114">
        <v>1.7000000000000001E-2</v>
      </c>
      <c r="D87" s="336" t="s">
        <v>53</v>
      </c>
      <c r="E87" s="574"/>
      <c r="F87" s="204"/>
      <c r="G87" s="204"/>
      <c r="H87" s="204"/>
      <c r="I87" s="204"/>
      <c r="J87" s="204"/>
      <c r="K87" s="204"/>
      <c r="L87" s="204"/>
      <c r="M87" s="204"/>
      <c r="N87" s="204"/>
      <c r="O87" s="204"/>
      <c r="P87" s="204"/>
    </row>
    <row r="88" spans="1:46" x14ac:dyDescent="0.7">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4"/>
      <c r="AL88" s="204"/>
      <c r="AM88" s="204"/>
      <c r="AN88" s="204"/>
      <c r="AO88" s="204"/>
      <c r="AP88" s="204"/>
      <c r="AQ88" s="204"/>
      <c r="AR88" s="204"/>
      <c r="AS88" s="204"/>
      <c r="AT88" s="204"/>
    </row>
    <row r="89" spans="1:46" ht="31.8" x14ac:dyDescent="0.7">
      <c r="A89" s="292" t="s">
        <v>474</v>
      </c>
      <c r="B89" s="293"/>
      <c r="C89" s="293"/>
      <c r="D89" s="293"/>
      <c r="E89" s="294"/>
      <c r="F89" s="204"/>
      <c r="G89" s="204"/>
      <c r="H89" s="204"/>
      <c r="I89" s="204"/>
    </row>
    <row r="90" spans="1:46" ht="25.35" customHeight="1" x14ac:dyDescent="0.7">
      <c r="A90" s="572" t="s">
        <v>182</v>
      </c>
      <c r="B90" s="572"/>
      <c r="C90" s="572"/>
      <c r="D90" s="572"/>
      <c r="E90" s="572"/>
      <c r="F90" s="204"/>
      <c r="G90" s="204"/>
      <c r="H90" s="204"/>
      <c r="I90" s="204"/>
      <c r="J90" s="204"/>
      <c r="K90" s="204"/>
      <c r="L90" s="204"/>
      <c r="M90" s="204"/>
      <c r="N90" s="204"/>
      <c r="O90" s="204"/>
      <c r="P90" s="204"/>
      <c r="Q90" s="204"/>
      <c r="R90" s="204"/>
      <c r="S90" s="204"/>
      <c r="T90" s="204"/>
      <c r="U90" s="204"/>
      <c r="V90" s="204"/>
      <c r="W90" s="204"/>
      <c r="X90" s="204"/>
      <c r="Y90" s="204"/>
      <c r="Z90" s="204"/>
      <c r="AA90" s="204"/>
      <c r="AB90" s="204"/>
      <c r="AC90" s="204"/>
      <c r="AD90" s="204"/>
      <c r="AE90" s="204"/>
      <c r="AF90" s="204"/>
      <c r="AG90" s="204"/>
      <c r="AH90" s="204"/>
      <c r="AI90" s="204"/>
      <c r="AJ90" s="204"/>
      <c r="AK90" s="204"/>
      <c r="AL90" s="204"/>
      <c r="AM90" s="204"/>
      <c r="AN90" s="204"/>
      <c r="AO90" s="204"/>
      <c r="AP90" s="204"/>
      <c r="AQ90" s="204"/>
      <c r="AR90" s="204"/>
      <c r="AS90" s="204"/>
      <c r="AT90" s="204"/>
    </row>
    <row r="91" spans="1:46" ht="25.35" customHeight="1" x14ac:dyDescent="0.7">
      <c r="A91" s="570" t="s">
        <v>456</v>
      </c>
      <c r="B91" s="570"/>
      <c r="C91" s="314" t="s">
        <v>3</v>
      </c>
      <c r="D91" s="570" t="s">
        <v>25</v>
      </c>
      <c r="E91" s="570"/>
      <c r="F91" s="204"/>
      <c r="G91" s="204"/>
      <c r="H91" s="204"/>
      <c r="I91" s="204"/>
      <c r="J91" s="204"/>
      <c r="K91" s="204"/>
      <c r="L91" s="204"/>
      <c r="M91" s="204"/>
      <c r="N91" s="204"/>
      <c r="O91" s="204"/>
      <c r="P91" s="204"/>
    </row>
    <row r="92" spans="1:46" ht="25.35" customHeight="1" x14ac:dyDescent="0.7">
      <c r="A92" s="458" t="s">
        <v>455</v>
      </c>
      <c r="B92" s="458"/>
      <c r="C92" s="192">
        <v>2.6800000000000001E-2</v>
      </c>
      <c r="D92" s="568" t="s">
        <v>458</v>
      </c>
      <c r="E92" s="569"/>
      <c r="F92" s="204"/>
      <c r="G92" s="204"/>
      <c r="H92" s="204"/>
      <c r="I92" s="204"/>
      <c r="J92" s="204"/>
      <c r="K92" s="204"/>
      <c r="L92" s="204"/>
      <c r="M92" s="204"/>
      <c r="N92" s="204"/>
      <c r="O92" s="204"/>
      <c r="P92" s="204"/>
    </row>
    <row r="93" spans="1:46" ht="25.35" customHeight="1" x14ac:dyDescent="0.7">
      <c r="A93" s="458" t="s">
        <v>457</v>
      </c>
      <c r="B93" s="458"/>
      <c r="C93" s="192">
        <v>3.5924471293478283E-2</v>
      </c>
      <c r="D93" s="568" t="s">
        <v>459</v>
      </c>
      <c r="E93" s="569"/>
      <c r="F93" s="204"/>
      <c r="G93" s="204"/>
      <c r="H93" s="204"/>
      <c r="I93" s="204"/>
      <c r="J93" s="204"/>
      <c r="K93" s="204"/>
      <c r="L93" s="204"/>
      <c r="M93" s="204"/>
      <c r="N93" s="204"/>
      <c r="O93" s="204"/>
      <c r="P93" s="204"/>
    </row>
    <row r="94" spans="1:46" ht="25.35" customHeight="1" x14ac:dyDescent="0.7">
      <c r="A94" s="571" t="s">
        <v>186</v>
      </c>
      <c r="B94" s="571"/>
      <c r="C94" s="571"/>
      <c r="D94" s="571"/>
      <c r="E94" s="571"/>
      <c r="F94" s="204"/>
      <c r="G94" s="204"/>
      <c r="H94" s="204"/>
      <c r="I94" s="204"/>
      <c r="J94" s="204"/>
      <c r="K94" s="204"/>
      <c r="L94" s="204"/>
      <c r="M94" s="204"/>
      <c r="N94" s="204"/>
      <c r="O94" s="204"/>
      <c r="P94" s="204"/>
      <c r="Q94" s="204"/>
      <c r="R94" s="204"/>
      <c r="S94" s="204"/>
      <c r="T94" s="204"/>
      <c r="U94" s="204"/>
      <c r="V94" s="204"/>
      <c r="W94" s="204"/>
      <c r="X94" s="204"/>
      <c r="Y94" s="204"/>
      <c r="Z94" s="204"/>
      <c r="AA94" s="204"/>
      <c r="AB94" s="204"/>
      <c r="AC94" s="204"/>
      <c r="AD94" s="204"/>
      <c r="AE94" s="204"/>
      <c r="AF94" s="204"/>
      <c r="AG94" s="204"/>
      <c r="AH94" s="204"/>
      <c r="AI94" s="204"/>
      <c r="AJ94" s="204"/>
      <c r="AK94" s="204"/>
      <c r="AL94" s="204"/>
      <c r="AM94" s="204"/>
      <c r="AN94" s="204"/>
      <c r="AO94" s="204"/>
      <c r="AP94" s="204"/>
      <c r="AQ94" s="204"/>
      <c r="AR94" s="204"/>
      <c r="AS94" s="204"/>
      <c r="AT94" s="204"/>
    </row>
    <row r="95" spans="1:46" ht="25.35" customHeight="1" x14ac:dyDescent="0.7">
      <c r="A95" s="570" t="s">
        <v>125</v>
      </c>
      <c r="B95" s="570"/>
      <c r="C95" s="314" t="s">
        <v>3</v>
      </c>
      <c r="D95" s="570" t="s">
        <v>25</v>
      </c>
      <c r="E95" s="570"/>
      <c r="F95" s="204"/>
      <c r="G95" s="204"/>
      <c r="H95" s="204"/>
      <c r="I95" s="204"/>
      <c r="J95" s="204"/>
      <c r="K95" s="204"/>
      <c r="L95" s="204"/>
      <c r="M95" s="204"/>
      <c r="N95" s="204"/>
      <c r="O95" s="204"/>
      <c r="P95" s="204"/>
    </row>
    <row r="96" spans="1:46" ht="25.35" customHeight="1" x14ac:dyDescent="0.7">
      <c r="A96" s="458" t="s">
        <v>237</v>
      </c>
      <c r="B96" s="458"/>
      <c r="C96" s="85">
        <f>'Business As Usual'!B105+'Business As Usual'!B106</f>
        <v>2027036.4164636249</v>
      </c>
      <c r="D96" s="477" t="s">
        <v>239</v>
      </c>
      <c r="E96" s="479"/>
      <c r="F96" s="204"/>
      <c r="G96" s="204"/>
      <c r="H96" s="204"/>
      <c r="I96" s="204"/>
      <c r="J96" s="204"/>
      <c r="K96" s="204"/>
      <c r="L96" s="204"/>
      <c r="M96" s="204"/>
      <c r="N96" s="204"/>
      <c r="O96" s="204"/>
      <c r="P96" s="204"/>
    </row>
    <row r="97" spans="1:16" ht="25.35" customHeight="1" x14ac:dyDescent="0.7">
      <c r="A97" s="458" t="s">
        <v>238</v>
      </c>
      <c r="B97" s="458"/>
      <c r="C97" s="85">
        <f>'Business As Usual'!B107</f>
        <v>66013.197738110437</v>
      </c>
      <c r="D97" s="524"/>
      <c r="E97" s="525"/>
      <c r="F97" s="204"/>
      <c r="G97" s="204"/>
      <c r="H97" s="204"/>
      <c r="I97" s="204"/>
      <c r="J97" s="204"/>
      <c r="K97" s="204"/>
      <c r="L97" s="204"/>
      <c r="M97" s="204"/>
      <c r="N97" s="204"/>
      <c r="O97" s="204"/>
      <c r="P97" s="204"/>
    </row>
    <row r="98" spans="1:16" ht="25.35" customHeight="1" x14ac:dyDescent="0.7">
      <c r="A98" s="458" t="s">
        <v>187</v>
      </c>
      <c r="B98" s="458"/>
      <c r="C98" s="59">
        <f>C97/(C96)</f>
        <v>3.2566360032779927E-2</v>
      </c>
      <c r="D98" s="480"/>
      <c r="E98" s="482"/>
      <c r="F98" s="204"/>
      <c r="G98" s="204"/>
      <c r="H98" s="204"/>
      <c r="I98" s="204"/>
      <c r="J98" s="204"/>
      <c r="K98" s="204"/>
      <c r="L98" s="204"/>
      <c r="M98" s="204"/>
      <c r="N98" s="204"/>
      <c r="O98" s="204"/>
      <c r="P98" s="204"/>
    </row>
    <row r="99" spans="1:16" x14ac:dyDescent="0.7">
      <c r="C99" s="337"/>
    </row>
    <row r="100" spans="1:16" ht="31.8" x14ac:dyDescent="0.7">
      <c r="A100" s="593" t="s">
        <v>131</v>
      </c>
      <c r="B100" s="594"/>
      <c r="C100" s="594"/>
      <c r="D100" s="594"/>
      <c r="E100" s="594"/>
      <c r="F100" s="594"/>
      <c r="G100" s="594"/>
      <c r="H100" s="594"/>
      <c r="I100" s="595"/>
    </row>
    <row r="101" spans="1:16" ht="24" x14ac:dyDescent="0.7">
      <c r="A101" s="596" t="s">
        <v>340</v>
      </c>
      <c r="B101" s="597"/>
      <c r="C101" s="597"/>
      <c r="D101" s="597"/>
      <c r="E101" s="597"/>
      <c r="F101" s="597"/>
      <c r="G101" s="597"/>
      <c r="H101" s="597"/>
      <c r="I101" s="598"/>
    </row>
    <row r="102" spans="1:16" ht="24" x14ac:dyDescent="0.7">
      <c r="A102" s="315" t="s">
        <v>465</v>
      </c>
      <c r="B102" s="315" t="s">
        <v>33</v>
      </c>
      <c r="C102" s="315" t="s">
        <v>466</v>
      </c>
      <c r="D102" s="315" t="s">
        <v>38</v>
      </c>
      <c r="E102" s="315" t="s">
        <v>466</v>
      </c>
      <c r="F102" s="315" t="s">
        <v>42</v>
      </c>
      <c r="G102" s="315" t="s">
        <v>466</v>
      </c>
      <c r="H102" s="315" t="s">
        <v>35</v>
      </c>
      <c r="I102" s="315" t="s">
        <v>25</v>
      </c>
    </row>
    <row r="103" spans="1:16" x14ac:dyDescent="0.7">
      <c r="A103" s="6" t="s">
        <v>467</v>
      </c>
      <c r="B103" s="194">
        <f>SUM(B104:B106)</f>
        <v>43.2</v>
      </c>
      <c r="C103" s="195">
        <v>1</v>
      </c>
      <c r="D103" s="194">
        <f>SUM(D104:D106)</f>
        <v>78.199999999999989</v>
      </c>
      <c r="E103" s="195">
        <v>1</v>
      </c>
      <c r="F103" s="194">
        <f>SUM(F104:F106)</f>
        <v>71.900000000000006</v>
      </c>
      <c r="G103" s="195">
        <v>1</v>
      </c>
      <c r="H103" s="4" t="s">
        <v>468</v>
      </c>
      <c r="I103" s="563" t="s">
        <v>469</v>
      </c>
    </row>
    <row r="104" spans="1:16" x14ac:dyDescent="0.7">
      <c r="A104" s="6" t="s">
        <v>470</v>
      </c>
      <c r="B104" s="196">
        <v>8</v>
      </c>
      <c r="C104" s="195">
        <f>B104/B103</f>
        <v>0.18518518518518517</v>
      </c>
      <c r="D104" s="196">
        <v>51.8</v>
      </c>
      <c r="E104" s="195">
        <f>D104/D103</f>
        <v>0.66240409207161133</v>
      </c>
      <c r="F104" s="196">
        <v>54.5</v>
      </c>
      <c r="G104" s="195">
        <f>F104/F103</f>
        <v>0.7579972183588316</v>
      </c>
      <c r="H104" s="4" t="s">
        <v>468</v>
      </c>
      <c r="I104" s="564"/>
    </row>
    <row r="105" spans="1:16" x14ac:dyDescent="0.7">
      <c r="A105" s="6" t="s">
        <v>471</v>
      </c>
      <c r="B105" s="196">
        <v>4.8</v>
      </c>
      <c r="C105" s="195">
        <f>B105/B103</f>
        <v>0.1111111111111111</v>
      </c>
      <c r="D105" s="196">
        <v>0</v>
      </c>
      <c r="E105" s="195">
        <f>D105/D103</f>
        <v>0</v>
      </c>
      <c r="F105" s="196">
        <v>0</v>
      </c>
      <c r="G105" s="195">
        <f>F105/F103</f>
        <v>0</v>
      </c>
      <c r="H105" s="4" t="s">
        <v>468</v>
      </c>
      <c r="I105" s="564"/>
    </row>
    <row r="106" spans="1:16" x14ac:dyDescent="0.7">
      <c r="A106" s="357" t="s">
        <v>472</v>
      </c>
      <c r="B106" s="376">
        <f>2.9+17.7+9.8</f>
        <v>30.4</v>
      </c>
      <c r="C106" s="377">
        <f>B106/B103</f>
        <v>0.70370370370370361</v>
      </c>
      <c r="D106" s="376">
        <f>6.1+20.3</f>
        <v>26.4</v>
      </c>
      <c r="E106" s="195">
        <f>D106/D103</f>
        <v>0.33759590792838878</v>
      </c>
      <c r="F106" s="196">
        <v>17.399999999999999</v>
      </c>
      <c r="G106" s="195">
        <f>F106/F103</f>
        <v>0.24200278164116826</v>
      </c>
      <c r="H106" s="4" t="s">
        <v>468</v>
      </c>
      <c r="I106" s="565"/>
    </row>
    <row r="107" spans="1:16" ht="24" x14ac:dyDescent="0.7">
      <c r="A107" s="381" t="s">
        <v>312</v>
      </c>
      <c r="B107" s="382"/>
      <c r="C107" s="382"/>
      <c r="D107" s="383"/>
      <c r="H107" s="204"/>
      <c r="I107" s="204"/>
    </row>
    <row r="108" spans="1:16" ht="24" x14ac:dyDescent="0.7">
      <c r="A108" s="378" t="s">
        <v>465</v>
      </c>
      <c r="B108" s="379" t="s">
        <v>33</v>
      </c>
      <c r="C108" s="379" t="s">
        <v>38</v>
      </c>
      <c r="D108" s="380" t="s">
        <v>25</v>
      </c>
      <c r="H108" s="204"/>
      <c r="I108" s="204"/>
    </row>
    <row r="109" spans="1:16" x14ac:dyDescent="0.7">
      <c r="A109" s="197" t="s">
        <v>467</v>
      </c>
      <c r="B109" s="195">
        <f>SUM(B110:B113)</f>
        <v>1</v>
      </c>
      <c r="C109" s="195">
        <f>SUM(C110:C113)</f>
        <v>1</v>
      </c>
      <c r="D109" s="599" t="s">
        <v>660</v>
      </c>
      <c r="H109" s="204"/>
      <c r="I109" s="204"/>
    </row>
    <row r="110" spans="1:16" x14ac:dyDescent="0.7">
      <c r="A110" s="6" t="s">
        <v>470</v>
      </c>
      <c r="B110" s="198">
        <v>7.8311509714252645E-2</v>
      </c>
      <c r="C110" s="198">
        <v>0.65673847200575042</v>
      </c>
      <c r="D110" s="600"/>
      <c r="H110" s="204"/>
      <c r="I110" s="204"/>
    </row>
    <row r="111" spans="1:16" x14ac:dyDescent="0.7">
      <c r="A111" s="6" t="s">
        <v>471</v>
      </c>
      <c r="B111" s="198">
        <v>0.12210767904447603</v>
      </c>
      <c r="C111" s="198">
        <v>0</v>
      </c>
      <c r="D111" s="600"/>
      <c r="H111" s="204"/>
      <c r="I111" s="204"/>
    </row>
    <row r="112" spans="1:16" x14ac:dyDescent="0.7">
      <c r="A112" s="6" t="s">
        <v>473</v>
      </c>
      <c r="B112" s="198">
        <v>0</v>
      </c>
      <c r="C112" s="198">
        <v>0</v>
      </c>
      <c r="D112" s="600"/>
      <c r="H112" s="204"/>
      <c r="I112" s="204"/>
    </row>
    <row r="113" spans="1:9" x14ac:dyDescent="0.7">
      <c r="A113" s="6" t="s">
        <v>472</v>
      </c>
      <c r="B113" s="195">
        <f>1-B112-B111-B110</f>
        <v>0.79958081124127134</v>
      </c>
      <c r="C113" s="195">
        <f>1-C112-C111-C110</f>
        <v>0.34326152799424958</v>
      </c>
      <c r="D113" s="601"/>
      <c r="H113" s="204"/>
      <c r="I113" s="204"/>
    </row>
  </sheetData>
  <mergeCells count="54">
    <mergeCell ref="A100:I100"/>
    <mergeCell ref="A101:I101"/>
    <mergeCell ref="D109:D113"/>
    <mergeCell ref="A41:E41"/>
    <mergeCell ref="A35:E35"/>
    <mergeCell ref="A44:B44"/>
    <mergeCell ref="A45:B45"/>
    <mergeCell ref="A43:B43"/>
    <mergeCell ref="E43:E45"/>
    <mergeCell ref="A95:B95"/>
    <mergeCell ref="D95:E95"/>
    <mergeCell ref="A96:B96"/>
    <mergeCell ref="D96:E98"/>
    <mergeCell ref="A97:B97"/>
    <mergeCell ref="A98:B98"/>
    <mergeCell ref="D92:E92"/>
    <mergeCell ref="A3:D3"/>
    <mergeCell ref="A23:E23"/>
    <mergeCell ref="D24:E24"/>
    <mergeCell ref="A40:B40"/>
    <mergeCell ref="A38:B38"/>
    <mergeCell ref="D25:E27"/>
    <mergeCell ref="D28:E30"/>
    <mergeCell ref="D31:E31"/>
    <mergeCell ref="D32:E32"/>
    <mergeCell ref="A36:E36"/>
    <mergeCell ref="A37:B37"/>
    <mergeCell ref="E39:E40"/>
    <mergeCell ref="A47:B47"/>
    <mergeCell ref="A90:E90"/>
    <mergeCell ref="A51:E51"/>
    <mergeCell ref="A52:E52"/>
    <mergeCell ref="A63:E63"/>
    <mergeCell ref="E85:E87"/>
    <mergeCell ref="E76:E82"/>
    <mergeCell ref="E65:E73"/>
    <mergeCell ref="E54:E62"/>
    <mergeCell ref="E48:E50"/>
    <mergeCell ref="I103:I106"/>
    <mergeCell ref="A1:I1"/>
    <mergeCell ref="A93:B93"/>
    <mergeCell ref="D93:E93"/>
    <mergeCell ref="A39:B39"/>
    <mergeCell ref="A42:B42"/>
    <mergeCell ref="A91:B91"/>
    <mergeCell ref="D91:E91"/>
    <mergeCell ref="A74:E74"/>
    <mergeCell ref="A49:B49"/>
    <mergeCell ref="A83:E83"/>
    <mergeCell ref="A48:B48"/>
    <mergeCell ref="A50:B50"/>
    <mergeCell ref="A94:E94"/>
    <mergeCell ref="A92:B92"/>
    <mergeCell ref="A46:E46"/>
  </mergeCells>
  <hyperlinks>
    <hyperlink ref="D28" r:id="rId1" xr:uid="{71FDDAC4-E7AF-43CF-A655-1A8AB2E8946C}"/>
    <hyperlink ref="D31" r:id="rId2" xr:uid="{4CF49E80-395E-434A-804E-09A1F8C6C146}"/>
    <hyperlink ref="D130:D131" r:id="rId3" display="https://www.weatherdatadepot.com/degree-day-comparison" xr:uid="{524429C9-614C-4200-8BC3-12B69FAF3382}"/>
    <hyperlink ref="D130" r:id="rId4" display="www.weatherdatadepot.com" xr:uid="{CFC38F5C-22E0-42DD-8E8C-C881DA450FC7}"/>
    <hyperlink ref="D123:D127" r:id="rId5" display="NREL ComStock Annual Results for Denver County." xr:uid="{5435317E-6774-4A2C-91E7-388B4019C079}"/>
  </hyperlinks>
  <pageMargins left="0.7" right="0.7" top="0.75" bottom="0.75" header="0.3" footer="0.3"/>
  <pageSetup orientation="portrait" r:id="rId6"/>
  <ignoredErrors>
    <ignoredError sqref="D10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Business As Usual</vt:lpstr>
      <vt:lpstr>Baseline Transportation</vt:lpstr>
      <vt:lpstr>Baseline Building Energy</vt:lpstr>
      <vt:lpstr>Forecast Parameters</vt:lpstr>
      <vt:lpstr>Emission Factors and Constants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Russell</dc:creator>
  <cp:lastModifiedBy>Nick Russell</cp:lastModifiedBy>
  <dcterms:created xsi:type="dcterms:W3CDTF">2023-03-12T18:25:39Z</dcterms:created>
  <dcterms:modified xsi:type="dcterms:W3CDTF">2025-08-07T15:09:14Z</dcterms:modified>
</cp:coreProperties>
</file>